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ana.belaia\Desktop\Raport Guvern\Raport Guvern 2022\Raport Guvern nesemnat\"/>
    </mc:Choice>
  </mc:AlternateContent>
  <bookViews>
    <workbookView xWindow="0" yWindow="0" windowWidth="28800" windowHeight="12000"/>
  </bookViews>
  <sheets>
    <sheet name="F 1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3" i="1" l="1"/>
  <c r="I179" i="1"/>
  <c r="I177" i="1" s="1"/>
  <c r="I167" i="1"/>
  <c r="I165" i="1" s="1"/>
  <c r="E94" i="1"/>
  <c r="G83" i="1"/>
  <c r="F83" i="1" s="1"/>
  <c r="Q181" i="1"/>
  <c r="Q204" i="1"/>
  <c r="Q96" i="1"/>
  <c r="Q97" i="1"/>
  <c r="Q98" i="1"/>
  <c r="Q99" i="1"/>
  <c r="Q169" i="1"/>
  <c r="P43" i="1"/>
  <c r="O120" i="1"/>
  <c r="O187" i="1"/>
  <c r="O204" i="1"/>
  <c r="M98" i="1"/>
  <c r="K120" i="1"/>
  <c r="K169" i="1"/>
  <c r="K181" i="1"/>
  <c r="K187" i="1"/>
  <c r="K204" i="1"/>
  <c r="G24" i="1"/>
  <c r="F20" i="1"/>
  <c r="F25" i="1"/>
  <c r="F26" i="1"/>
  <c r="F27" i="1"/>
  <c r="F32" i="1"/>
  <c r="F33" i="1"/>
  <c r="F38" i="1"/>
  <c r="F43" i="1"/>
  <c r="F48" i="1"/>
  <c r="F49" i="1"/>
  <c r="F54" i="1"/>
  <c r="F59" i="1"/>
  <c r="F64" i="1"/>
  <c r="F69" i="1"/>
  <c r="F74" i="1"/>
  <c r="F79" i="1"/>
  <c r="F84" i="1"/>
  <c r="F85" i="1"/>
  <c r="F90" i="1"/>
  <c r="F95" i="1"/>
  <c r="F96" i="1"/>
  <c r="F97" i="1"/>
  <c r="F98" i="1"/>
  <c r="F99" i="1"/>
  <c r="F104" i="1"/>
  <c r="F109" i="1"/>
  <c r="F114" i="1"/>
  <c r="F118" i="1"/>
  <c r="F119" i="1"/>
  <c r="F120" i="1"/>
  <c r="F125" i="1"/>
  <c r="F126" i="1"/>
  <c r="F131" i="1"/>
  <c r="F136" i="1"/>
  <c r="F141" i="1"/>
  <c r="F146" i="1"/>
  <c r="F147" i="1"/>
  <c r="F148" i="1"/>
  <c r="F153" i="1"/>
  <c r="F158" i="1"/>
  <c r="F163" i="1"/>
  <c r="F168" i="1"/>
  <c r="F169" i="1"/>
  <c r="F174" i="1"/>
  <c r="F175" i="1"/>
  <c r="F180" i="1"/>
  <c r="F181" i="1"/>
  <c r="F186" i="1"/>
  <c r="F187" i="1"/>
  <c r="F192" i="1"/>
  <c r="F197" i="1"/>
  <c r="F202" i="1"/>
  <c r="F204" i="1"/>
  <c r="G200" i="1"/>
  <c r="G199" i="1" s="1"/>
  <c r="H200" i="1"/>
  <c r="H199" i="1" s="1"/>
  <c r="G195" i="1"/>
  <c r="G194" i="1" s="1"/>
  <c r="H195" i="1"/>
  <c r="H194" i="1" s="1"/>
  <c r="G190" i="1"/>
  <c r="G189" i="1" s="1"/>
  <c r="H190" i="1"/>
  <c r="H189" i="1" s="1"/>
  <c r="D185" i="1"/>
  <c r="G185" i="1"/>
  <c r="H185" i="1"/>
  <c r="G184" i="1"/>
  <c r="H184" i="1"/>
  <c r="G179" i="1"/>
  <c r="K179" i="1" s="1"/>
  <c r="G178" i="1"/>
  <c r="H178" i="1"/>
  <c r="G173" i="1"/>
  <c r="G172" i="1"/>
  <c r="H172" i="1"/>
  <c r="G167" i="1"/>
  <c r="K167" i="1" s="1"/>
  <c r="G166" i="1"/>
  <c r="H166" i="1"/>
  <c r="H165" i="1" s="1"/>
  <c r="G161" i="1"/>
  <c r="G160" i="1" s="1"/>
  <c r="H161" i="1"/>
  <c r="H160" i="1" s="1"/>
  <c r="G156" i="1"/>
  <c r="G155" i="1" s="1"/>
  <c r="H156" i="1"/>
  <c r="H155" i="1" s="1"/>
  <c r="G151" i="1"/>
  <c r="G150" i="1" s="1"/>
  <c r="H151" i="1"/>
  <c r="H150" i="1" s="1"/>
  <c r="D145" i="1"/>
  <c r="G145" i="1"/>
  <c r="H145" i="1"/>
  <c r="L145" i="1" s="1"/>
  <c r="G144" i="1"/>
  <c r="H144" i="1"/>
  <c r="G139" i="1"/>
  <c r="G138" i="1" s="1"/>
  <c r="H139" i="1"/>
  <c r="H138" i="1" s="1"/>
  <c r="G134" i="1"/>
  <c r="G133" i="1" s="1"/>
  <c r="H134" i="1"/>
  <c r="H133" i="1" s="1"/>
  <c r="G129" i="1"/>
  <c r="G128" i="1" s="1"/>
  <c r="H129" i="1"/>
  <c r="H128" i="1" s="1"/>
  <c r="G124" i="1"/>
  <c r="F124" i="1" s="1"/>
  <c r="H123" i="1"/>
  <c r="H122" i="1" s="1"/>
  <c r="G117" i="1"/>
  <c r="G116" i="1" s="1"/>
  <c r="H117" i="1"/>
  <c r="H116" i="1" s="1"/>
  <c r="G112" i="1"/>
  <c r="G111" i="1" s="1"/>
  <c r="H112" i="1"/>
  <c r="H111" i="1" s="1"/>
  <c r="G107" i="1"/>
  <c r="G106" i="1" s="1"/>
  <c r="H107" i="1"/>
  <c r="H106" i="1" s="1"/>
  <c r="G102" i="1"/>
  <c r="H102" i="1"/>
  <c r="H101" i="1" s="1"/>
  <c r="I94" i="1"/>
  <c r="Q94" i="1" s="1"/>
  <c r="G93" i="1"/>
  <c r="H93" i="1"/>
  <c r="I93" i="1"/>
  <c r="G88" i="1"/>
  <c r="G87" i="1" s="1"/>
  <c r="H88" i="1"/>
  <c r="H87" i="1" s="1"/>
  <c r="G82" i="1"/>
  <c r="H82" i="1"/>
  <c r="H81" i="1" s="1"/>
  <c r="G77" i="1"/>
  <c r="G76" i="1" s="1"/>
  <c r="H77" i="1"/>
  <c r="H76" i="1" s="1"/>
  <c r="G72" i="1"/>
  <c r="H72" i="1"/>
  <c r="H71" i="1" s="1"/>
  <c r="G67" i="1"/>
  <c r="G66" i="1" s="1"/>
  <c r="H67" i="1"/>
  <c r="H66" i="1" s="1"/>
  <c r="G62" i="1"/>
  <c r="G61" i="1" s="1"/>
  <c r="H62" i="1"/>
  <c r="H61" i="1" s="1"/>
  <c r="G57" i="1"/>
  <c r="G56" i="1" s="1"/>
  <c r="H57" i="1"/>
  <c r="H56" i="1" s="1"/>
  <c r="H52" i="1"/>
  <c r="H51" i="1" s="1"/>
  <c r="G47" i="1"/>
  <c r="F47" i="1" s="1"/>
  <c r="G46" i="1"/>
  <c r="H46" i="1"/>
  <c r="H45" i="1" s="1"/>
  <c r="G41" i="1"/>
  <c r="G40" i="1" s="1"/>
  <c r="H41" i="1"/>
  <c r="H40" i="1" s="1"/>
  <c r="G36" i="1"/>
  <c r="G35" i="1" s="1"/>
  <c r="H36" i="1"/>
  <c r="H35" i="1" s="1"/>
  <c r="G31" i="1"/>
  <c r="G30" i="1"/>
  <c r="H30" i="1"/>
  <c r="H29" i="1" s="1"/>
  <c r="G23" i="1"/>
  <c r="H23" i="1"/>
  <c r="H22" i="1" s="1"/>
  <c r="G18" i="1"/>
  <c r="G17" i="1" s="1"/>
  <c r="H18" i="1"/>
  <c r="H17" i="1" s="1"/>
  <c r="G81" i="1" l="1"/>
  <c r="F81" i="1" s="1"/>
  <c r="L185" i="1"/>
  <c r="G165" i="1"/>
  <c r="F94" i="1"/>
  <c r="M94" i="1"/>
  <c r="G143" i="1"/>
  <c r="G92" i="1"/>
  <c r="G177" i="1"/>
  <c r="F72" i="1"/>
  <c r="F128" i="1"/>
  <c r="F111" i="1"/>
  <c r="F93" i="1"/>
  <c r="F17" i="1"/>
  <c r="F116" i="1"/>
  <c r="F150" i="1"/>
  <c r="F23" i="1"/>
  <c r="F189" i="1"/>
  <c r="G29" i="1"/>
  <c r="F167" i="1"/>
  <c r="F172" i="1"/>
  <c r="F194" i="1"/>
  <c r="F184" i="1"/>
  <c r="F173" i="1"/>
  <c r="F133" i="1"/>
  <c r="F40" i="1"/>
  <c r="F160" i="1"/>
  <c r="F102" i="1"/>
  <c r="F46" i="1"/>
  <c r="F138" i="1"/>
  <c r="F185" i="1"/>
  <c r="F166" i="1"/>
  <c r="F66" i="1"/>
  <c r="F87" i="1"/>
  <c r="G122" i="1"/>
  <c r="F190" i="1"/>
  <c r="F35" i="1"/>
  <c r="F139" i="1"/>
  <c r="F178" i="1"/>
  <c r="F199" i="1"/>
  <c r="F106" i="1"/>
  <c r="F107" i="1"/>
  <c r="F51" i="1"/>
  <c r="I15" i="1"/>
  <c r="F155" i="1"/>
  <c r="F41" i="1"/>
  <c r="F76" i="1"/>
  <c r="F145" i="1"/>
  <c r="F30" i="1"/>
  <c r="F61" i="1"/>
  <c r="F56" i="1"/>
  <c r="F134" i="1"/>
  <c r="F82" i="1"/>
  <c r="G101" i="1"/>
  <c r="G171" i="1"/>
  <c r="F161" i="1"/>
  <c r="F57" i="1"/>
  <c r="F31" i="1"/>
  <c r="H171" i="1"/>
  <c r="G71" i="1"/>
  <c r="H183" i="1"/>
  <c r="F151" i="1"/>
  <c r="F77" i="1"/>
  <c r="F18" i="1"/>
  <c r="F112" i="1"/>
  <c r="F88" i="1"/>
  <c r="F129" i="1"/>
  <c r="F117" i="1"/>
  <c r="F62" i="1"/>
  <c r="G15" i="1"/>
  <c r="I14" i="1"/>
  <c r="G14" i="1"/>
  <c r="F195" i="1"/>
  <c r="F179" i="1"/>
  <c r="F144" i="1"/>
  <c r="F52" i="1"/>
  <c r="F36" i="1"/>
  <c r="F200" i="1"/>
  <c r="F156" i="1"/>
  <c r="F123" i="1"/>
  <c r="F67" i="1"/>
  <c r="H14" i="1"/>
  <c r="H143" i="1"/>
  <c r="F24" i="1"/>
  <c r="G22" i="1"/>
  <c r="G183" i="1"/>
  <c r="H177" i="1"/>
  <c r="I92" i="1"/>
  <c r="H92" i="1"/>
  <c r="G45" i="1"/>
  <c r="F29" i="1" l="1"/>
  <c r="F101" i="1"/>
  <c r="F45" i="1"/>
  <c r="F22" i="1"/>
  <c r="F71" i="1"/>
  <c r="F122" i="1"/>
  <c r="I13" i="1"/>
  <c r="F15" i="1"/>
  <c r="G13" i="1"/>
  <c r="F177" i="1"/>
  <c r="F183" i="1"/>
  <c r="F171" i="1"/>
  <c r="F92" i="1"/>
  <c r="F14" i="1"/>
  <c r="F143" i="1"/>
  <c r="H13" i="1"/>
  <c r="F13" i="1" l="1"/>
  <c r="B96" i="1" l="1"/>
  <c r="B97" i="1"/>
  <c r="B98" i="1"/>
  <c r="B99" i="1"/>
  <c r="B120" i="1"/>
  <c r="B169" i="1"/>
  <c r="B181" i="1"/>
  <c r="B187" i="1"/>
  <c r="N187" i="1" l="1"/>
  <c r="J187" i="1"/>
  <c r="N181" i="1"/>
  <c r="J181" i="1"/>
  <c r="J120" i="1"/>
  <c r="N120" i="1"/>
  <c r="J97" i="1"/>
  <c r="N97" i="1"/>
  <c r="J169" i="1"/>
  <c r="N169" i="1"/>
  <c r="N99" i="1"/>
  <c r="J99" i="1"/>
  <c r="N98" i="1"/>
  <c r="J98" i="1"/>
  <c r="N96" i="1"/>
  <c r="J96" i="1"/>
  <c r="C118" i="1"/>
  <c r="E167" i="1"/>
  <c r="Q167" i="1" s="1"/>
  <c r="E179" i="1"/>
  <c r="Q179" i="1" s="1"/>
  <c r="E93" i="1"/>
  <c r="D41" i="1"/>
  <c r="D204" i="1"/>
  <c r="D202" i="1"/>
  <c r="D197" i="1"/>
  <c r="D192" i="1"/>
  <c r="D186" i="1"/>
  <c r="D180" i="1"/>
  <c r="D174" i="1"/>
  <c r="D168" i="1"/>
  <c r="D163" i="1"/>
  <c r="D158" i="1"/>
  <c r="D153" i="1"/>
  <c r="D146" i="1"/>
  <c r="D141" i="1"/>
  <c r="D136" i="1"/>
  <c r="D131" i="1"/>
  <c r="D125" i="1"/>
  <c r="D119" i="1"/>
  <c r="D114" i="1"/>
  <c r="D109" i="1"/>
  <c r="D104" i="1"/>
  <c r="D95" i="1"/>
  <c r="D90" i="1"/>
  <c r="D84" i="1"/>
  <c r="D79" i="1"/>
  <c r="D74" i="1"/>
  <c r="D69" i="1"/>
  <c r="D64" i="1"/>
  <c r="D59" i="1"/>
  <c r="D54" i="1"/>
  <c r="D48" i="1"/>
  <c r="D38" i="1"/>
  <c r="D32" i="1"/>
  <c r="D25" i="1"/>
  <c r="D20" i="1"/>
  <c r="C175" i="1"/>
  <c r="C131" i="1"/>
  <c r="C185" i="1"/>
  <c r="C123" i="1"/>
  <c r="B94" i="1"/>
  <c r="C202" i="1"/>
  <c r="C197" i="1"/>
  <c r="C192" i="1"/>
  <c r="C186" i="1"/>
  <c r="C180" i="1"/>
  <c r="C174" i="1"/>
  <c r="C168" i="1"/>
  <c r="C163" i="1"/>
  <c r="C158" i="1"/>
  <c r="C153" i="1"/>
  <c r="C148" i="1"/>
  <c r="C147" i="1"/>
  <c r="C146" i="1"/>
  <c r="C141" i="1"/>
  <c r="C136" i="1"/>
  <c r="C126" i="1"/>
  <c r="C119" i="1"/>
  <c r="C114" i="1"/>
  <c r="C109" i="1"/>
  <c r="C104" i="1"/>
  <c r="C95" i="1"/>
  <c r="C90" i="1"/>
  <c r="C85" i="1"/>
  <c r="C84" i="1"/>
  <c r="C79" i="1"/>
  <c r="C74" i="1"/>
  <c r="C69" i="1"/>
  <c r="C64" i="1"/>
  <c r="C59" i="1"/>
  <c r="C49" i="1"/>
  <c r="C48" i="1"/>
  <c r="C43" i="1"/>
  <c r="C38" i="1"/>
  <c r="C33" i="1"/>
  <c r="C32" i="1"/>
  <c r="C27" i="1"/>
  <c r="C26" i="1"/>
  <c r="C25" i="1"/>
  <c r="C20" i="1"/>
  <c r="B27" i="1" l="1"/>
  <c r="K27" i="1"/>
  <c r="O27" i="1"/>
  <c r="B85" i="1"/>
  <c r="O85" i="1"/>
  <c r="K85" i="1"/>
  <c r="D67" i="1"/>
  <c r="L69" i="1"/>
  <c r="P69" i="1"/>
  <c r="D134" i="1"/>
  <c r="L136" i="1"/>
  <c r="P136" i="1"/>
  <c r="D200" i="1"/>
  <c r="L202" i="1"/>
  <c r="P202" i="1"/>
  <c r="O153" i="1"/>
  <c r="K153" i="1"/>
  <c r="B204" i="1"/>
  <c r="L204" i="1"/>
  <c r="P204" i="1"/>
  <c r="D129" i="1"/>
  <c r="P131" i="1"/>
  <c r="L131" i="1"/>
  <c r="O95" i="1"/>
  <c r="K95" i="1"/>
  <c r="D77" i="1"/>
  <c r="P79" i="1"/>
  <c r="L79" i="1"/>
  <c r="D144" i="1"/>
  <c r="L146" i="1"/>
  <c r="P146" i="1"/>
  <c r="D40" i="1"/>
  <c r="L41" i="1"/>
  <c r="P41" i="1"/>
  <c r="B33" i="1"/>
  <c r="K33" i="1"/>
  <c r="O33" i="1"/>
  <c r="B175" i="1"/>
  <c r="K175" i="1"/>
  <c r="O175" i="1"/>
  <c r="D82" i="1"/>
  <c r="P84" i="1"/>
  <c r="L84" i="1"/>
  <c r="D151" i="1"/>
  <c r="P153" i="1"/>
  <c r="L153" i="1"/>
  <c r="D139" i="1"/>
  <c r="P141" i="1"/>
  <c r="L141" i="1"/>
  <c r="D18" i="1"/>
  <c r="D17" i="1" s="1"/>
  <c r="L20" i="1"/>
  <c r="P20" i="1"/>
  <c r="D88" i="1"/>
  <c r="L90" i="1"/>
  <c r="P90" i="1"/>
  <c r="D156" i="1"/>
  <c r="L158" i="1"/>
  <c r="P158" i="1"/>
  <c r="K32" i="1"/>
  <c r="O32" i="1"/>
  <c r="K158" i="1"/>
  <c r="O158" i="1"/>
  <c r="K163" i="1"/>
  <c r="O163" i="1"/>
  <c r="O114" i="1"/>
  <c r="K114" i="1"/>
  <c r="K174" i="1"/>
  <c r="O174" i="1"/>
  <c r="D23" i="1"/>
  <c r="L25" i="1"/>
  <c r="P25" i="1"/>
  <c r="D93" i="1"/>
  <c r="P95" i="1"/>
  <c r="L95" i="1"/>
  <c r="D161" i="1"/>
  <c r="P163" i="1"/>
  <c r="L163" i="1"/>
  <c r="B147" i="1"/>
  <c r="O147" i="1"/>
  <c r="K147" i="1"/>
  <c r="B148" i="1"/>
  <c r="O148" i="1"/>
  <c r="K148" i="1"/>
  <c r="K38" i="1"/>
  <c r="O38" i="1"/>
  <c r="B43" i="1"/>
  <c r="O43" i="1"/>
  <c r="K43" i="1"/>
  <c r="C57" i="1"/>
  <c r="K59" i="1"/>
  <c r="O59" i="1"/>
  <c r="K119" i="1"/>
  <c r="O119" i="1"/>
  <c r="K180" i="1"/>
  <c r="O180" i="1"/>
  <c r="D30" i="1"/>
  <c r="L32" i="1"/>
  <c r="P32" i="1"/>
  <c r="D102" i="1"/>
  <c r="P104" i="1"/>
  <c r="L104" i="1"/>
  <c r="D166" i="1"/>
  <c r="P168" i="1"/>
  <c r="L168" i="1"/>
  <c r="B118" i="1"/>
  <c r="K118" i="1"/>
  <c r="O118" i="1"/>
  <c r="N94" i="1"/>
  <c r="J94" i="1"/>
  <c r="K185" i="1"/>
  <c r="O185" i="1"/>
  <c r="K104" i="1"/>
  <c r="O104" i="1"/>
  <c r="B126" i="1"/>
  <c r="K126" i="1"/>
  <c r="O126" i="1"/>
  <c r="K186" i="1"/>
  <c r="O186" i="1"/>
  <c r="D36" i="1"/>
  <c r="P38" i="1"/>
  <c r="L38" i="1"/>
  <c r="D107" i="1"/>
  <c r="P109" i="1"/>
  <c r="L109" i="1"/>
  <c r="D172" i="1"/>
  <c r="P174" i="1"/>
  <c r="L174" i="1"/>
  <c r="D62" i="1"/>
  <c r="P64" i="1"/>
  <c r="L64" i="1"/>
  <c r="O131" i="1"/>
  <c r="K131" i="1"/>
  <c r="O109" i="1"/>
  <c r="K109" i="1"/>
  <c r="C62" i="1"/>
  <c r="C61" i="1" s="1"/>
  <c r="O64" i="1"/>
  <c r="K64" i="1"/>
  <c r="K20" i="1"/>
  <c r="O20" i="1"/>
  <c r="K69" i="1"/>
  <c r="O69" i="1"/>
  <c r="O136" i="1"/>
  <c r="K136" i="1"/>
  <c r="K192" i="1"/>
  <c r="O192" i="1"/>
  <c r="D46" i="1"/>
  <c r="L48" i="1"/>
  <c r="P48" i="1"/>
  <c r="D112" i="1"/>
  <c r="L114" i="1"/>
  <c r="P114" i="1"/>
  <c r="D178" i="1"/>
  <c r="L180" i="1"/>
  <c r="P180" i="1"/>
  <c r="D195" i="1"/>
  <c r="L197" i="1"/>
  <c r="P197" i="1"/>
  <c r="K90" i="1"/>
  <c r="O90" i="1"/>
  <c r="K168" i="1"/>
  <c r="O168" i="1"/>
  <c r="C23" i="1"/>
  <c r="O25" i="1"/>
  <c r="K25" i="1"/>
  <c r="K74" i="1"/>
  <c r="O74" i="1"/>
  <c r="C139" i="1"/>
  <c r="B139" i="1" s="1"/>
  <c r="K141" i="1"/>
  <c r="O141" i="1"/>
  <c r="C195" i="1"/>
  <c r="K197" i="1"/>
  <c r="O197" i="1"/>
  <c r="B54" i="1"/>
  <c r="N54" i="1" s="1"/>
  <c r="L54" i="1"/>
  <c r="P54" i="1"/>
  <c r="D117" i="1"/>
  <c r="P119" i="1"/>
  <c r="L119" i="1"/>
  <c r="D184" i="1"/>
  <c r="L186" i="1"/>
  <c r="P186" i="1"/>
  <c r="O84" i="1"/>
  <c r="K84" i="1"/>
  <c r="D72" i="1"/>
  <c r="L74" i="1"/>
  <c r="P74" i="1"/>
  <c r="K48" i="1"/>
  <c r="O48" i="1"/>
  <c r="B49" i="1"/>
  <c r="K49" i="1"/>
  <c r="O49" i="1"/>
  <c r="B26" i="1"/>
  <c r="O26" i="1"/>
  <c r="K26" i="1"/>
  <c r="K79" i="1"/>
  <c r="O79" i="1"/>
  <c r="C144" i="1"/>
  <c r="B144" i="1" s="1"/>
  <c r="K146" i="1"/>
  <c r="O146" i="1"/>
  <c r="K202" i="1"/>
  <c r="O202" i="1"/>
  <c r="D57" i="1"/>
  <c r="P59" i="1"/>
  <c r="L59" i="1"/>
  <c r="B125" i="1"/>
  <c r="P125" i="1"/>
  <c r="D190" i="1"/>
  <c r="B190" i="1" s="1"/>
  <c r="P192" i="1"/>
  <c r="L192" i="1"/>
  <c r="E92" i="1"/>
  <c r="B69" i="1"/>
  <c r="E15" i="1"/>
  <c r="B136" i="1"/>
  <c r="B109" i="1"/>
  <c r="B48" i="1"/>
  <c r="B59" i="1"/>
  <c r="B192" i="1"/>
  <c r="B168" i="1"/>
  <c r="B174" i="1"/>
  <c r="B119" i="1"/>
  <c r="B180" i="1"/>
  <c r="B64" i="1"/>
  <c r="B186" i="1"/>
  <c r="B131" i="1"/>
  <c r="B197" i="1"/>
  <c r="B202" i="1"/>
  <c r="B84" i="1"/>
  <c r="B141" i="1"/>
  <c r="C178" i="1"/>
  <c r="B74" i="1"/>
  <c r="B146" i="1"/>
  <c r="B153" i="1"/>
  <c r="C184" i="1"/>
  <c r="C134" i="1"/>
  <c r="B32" i="1"/>
  <c r="B38" i="1"/>
  <c r="B79" i="1"/>
  <c r="C24" i="1"/>
  <c r="B104" i="1"/>
  <c r="C190" i="1"/>
  <c r="B95" i="1"/>
  <c r="B158" i="1"/>
  <c r="C102" i="1"/>
  <c r="B185" i="1"/>
  <c r="D123" i="1"/>
  <c r="B163" i="1"/>
  <c r="N163" i="1" s="1"/>
  <c r="C30" i="1"/>
  <c r="C67" i="1"/>
  <c r="C145" i="1"/>
  <c r="B90" i="1"/>
  <c r="B114" i="1"/>
  <c r="C72" i="1"/>
  <c r="C112" i="1"/>
  <c r="C151" i="1"/>
  <c r="C36" i="1"/>
  <c r="C156" i="1"/>
  <c r="C41" i="1"/>
  <c r="C77" i="1"/>
  <c r="C117" i="1"/>
  <c r="C161" i="1"/>
  <c r="C82" i="1"/>
  <c r="C166" i="1"/>
  <c r="C200" i="1"/>
  <c r="E177" i="1"/>
  <c r="Q177" i="1" s="1"/>
  <c r="B179" i="1"/>
  <c r="N179" i="1" s="1"/>
  <c r="C46" i="1"/>
  <c r="C83" i="1"/>
  <c r="C124" i="1"/>
  <c r="B167" i="1"/>
  <c r="N167" i="1" s="1"/>
  <c r="C31" i="1"/>
  <c r="B20" i="1"/>
  <c r="C47" i="1"/>
  <c r="C88" i="1"/>
  <c r="D52" i="1"/>
  <c r="C107" i="1"/>
  <c r="B25" i="1"/>
  <c r="C18" i="1"/>
  <c r="C93" i="1"/>
  <c r="C129" i="1"/>
  <c r="C172" i="1"/>
  <c r="C173" i="1"/>
  <c r="E165" i="1"/>
  <c r="E14" i="1"/>
  <c r="B23" i="1" l="1"/>
  <c r="J23" i="1" s="1"/>
  <c r="B195" i="1"/>
  <c r="N195" i="1" s="1"/>
  <c r="B62" i="1"/>
  <c r="J62" i="1" s="1"/>
  <c r="C138" i="1"/>
  <c r="J109" i="1"/>
  <c r="N109" i="1"/>
  <c r="K88" i="1"/>
  <c r="O88" i="1"/>
  <c r="O200" i="1"/>
  <c r="K200" i="1"/>
  <c r="K112" i="1"/>
  <c r="O112" i="1"/>
  <c r="N185" i="1"/>
  <c r="J185" i="1"/>
  <c r="J32" i="1"/>
  <c r="N32" i="1"/>
  <c r="N131" i="1"/>
  <c r="J131" i="1"/>
  <c r="J136" i="1"/>
  <c r="N136" i="1"/>
  <c r="D183" i="1"/>
  <c r="L184" i="1"/>
  <c r="P184" i="1"/>
  <c r="O139" i="1"/>
  <c r="K139" i="1"/>
  <c r="D194" i="1"/>
  <c r="L195" i="1"/>
  <c r="P195" i="1"/>
  <c r="D35" i="1"/>
  <c r="P36" i="1"/>
  <c r="L36" i="1"/>
  <c r="D138" i="1"/>
  <c r="L139" i="1"/>
  <c r="P139" i="1"/>
  <c r="J33" i="1"/>
  <c r="N33" i="1"/>
  <c r="D51" i="1"/>
  <c r="B51" i="1" s="1"/>
  <c r="N51" i="1" s="1"/>
  <c r="P52" i="1"/>
  <c r="L52" i="1"/>
  <c r="M15" i="1"/>
  <c r="Q15" i="1"/>
  <c r="D56" i="1"/>
  <c r="L57" i="1"/>
  <c r="P57" i="1"/>
  <c r="D133" i="1"/>
  <c r="L134" i="1"/>
  <c r="P134" i="1"/>
  <c r="D122" i="1"/>
  <c r="P123" i="1"/>
  <c r="B184" i="1"/>
  <c r="O184" i="1"/>
  <c r="K184" i="1"/>
  <c r="J64" i="1"/>
  <c r="N64" i="1"/>
  <c r="N69" i="1"/>
  <c r="J69" i="1"/>
  <c r="N49" i="1"/>
  <c r="J49" i="1"/>
  <c r="N118" i="1"/>
  <c r="J118" i="1"/>
  <c r="J148" i="1"/>
  <c r="N148" i="1"/>
  <c r="D22" i="1"/>
  <c r="L23" i="1"/>
  <c r="P23" i="1"/>
  <c r="D128" i="1"/>
  <c r="P129" i="1"/>
  <c r="L129" i="1"/>
  <c r="N26" i="1"/>
  <c r="J26" i="1"/>
  <c r="O102" i="1"/>
  <c r="K102" i="1"/>
  <c r="O31" i="1"/>
  <c r="K31" i="1"/>
  <c r="O161" i="1"/>
  <c r="K161" i="1"/>
  <c r="J139" i="1"/>
  <c r="N139" i="1"/>
  <c r="K61" i="1"/>
  <c r="O61" i="1"/>
  <c r="J153" i="1"/>
  <c r="N153" i="1"/>
  <c r="Q92" i="1"/>
  <c r="M92" i="1"/>
  <c r="D116" i="1"/>
  <c r="P117" i="1"/>
  <c r="L117" i="1"/>
  <c r="D177" i="1"/>
  <c r="L178" i="1"/>
  <c r="P178" i="1"/>
  <c r="D61" i="1"/>
  <c r="P62" i="1"/>
  <c r="L62" i="1"/>
  <c r="D155" i="1"/>
  <c r="P156" i="1"/>
  <c r="L156" i="1"/>
  <c r="D150" i="1"/>
  <c r="P151" i="1"/>
  <c r="L151" i="1"/>
  <c r="P40" i="1"/>
  <c r="L40" i="1"/>
  <c r="D92" i="1"/>
  <c r="P93" i="1"/>
  <c r="L93" i="1"/>
  <c r="B47" i="1"/>
  <c r="K47" i="1"/>
  <c r="O47" i="1"/>
  <c r="N20" i="1"/>
  <c r="J20" i="1"/>
  <c r="K117" i="1"/>
  <c r="O117" i="1"/>
  <c r="K138" i="1"/>
  <c r="J158" i="1"/>
  <c r="N158" i="1"/>
  <c r="J146" i="1"/>
  <c r="N146" i="1"/>
  <c r="J180" i="1"/>
  <c r="N180" i="1"/>
  <c r="D66" i="1"/>
  <c r="P67" i="1"/>
  <c r="L67" i="1"/>
  <c r="N114" i="1"/>
  <c r="J114" i="1"/>
  <c r="B173" i="1"/>
  <c r="N173" i="1" s="1"/>
  <c r="K173" i="1"/>
  <c r="O173" i="1"/>
  <c r="K172" i="1"/>
  <c r="O172" i="1"/>
  <c r="B124" i="1"/>
  <c r="O124" i="1"/>
  <c r="K124" i="1"/>
  <c r="O77" i="1"/>
  <c r="K77" i="1"/>
  <c r="N90" i="1"/>
  <c r="J90" i="1"/>
  <c r="N95" i="1"/>
  <c r="J95" i="1"/>
  <c r="J74" i="1"/>
  <c r="N74" i="1"/>
  <c r="J119" i="1"/>
  <c r="N119" i="1"/>
  <c r="O23" i="1"/>
  <c r="K23" i="1"/>
  <c r="J126" i="1"/>
  <c r="N126" i="1"/>
  <c r="D165" i="1"/>
  <c r="L166" i="1"/>
  <c r="P166" i="1"/>
  <c r="N147" i="1"/>
  <c r="J147" i="1"/>
  <c r="J204" i="1"/>
  <c r="N204" i="1"/>
  <c r="N38" i="1"/>
  <c r="J38" i="1"/>
  <c r="J186" i="1"/>
  <c r="N186" i="1"/>
  <c r="B83" i="1"/>
  <c r="K83" i="1"/>
  <c r="O83" i="1"/>
  <c r="K41" i="1"/>
  <c r="O41" i="1"/>
  <c r="J190" i="1"/>
  <c r="N190" i="1"/>
  <c r="P17" i="1"/>
  <c r="L17" i="1"/>
  <c r="C177" i="1"/>
  <c r="K178" i="1"/>
  <c r="O178" i="1"/>
  <c r="N174" i="1"/>
  <c r="J174" i="1"/>
  <c r="O144" i="1"/>
  <c r="K144" i="1"/>
  <c r="D111" i="1"/>
  <c r="L112" i="1"/>
  <c r="P112" i="1"/>
  <c r="D171" i="1"/>
  <c r="L172" i="1"/>
  <c r="P172" i="1"/>
  <c r="C56" i="1"/>
  <c r="O57" i="1"/>
  <c r="K57" i="1"/>
  <c r="D87" i="1"/>
  <c r="P88" i="1"/>
  <c r="L88" i="1"/>
  <c r="D81" i="1"/>
  <c r="L82" i="1"/>
  <c r="P82" i="1"/>
  <c r="D143" i="1"/>
  <c r="P144" i="1"/>
  <c r="L144" i="1"/>
  <c r="O72" i="1"/>
  <c r="K72" i="1"/>
  <c r="B82" i="1"/>
  <c r="K82" i="1"/>
  <c r="O82" i="1"/>
  <c r="O129" i="1"/>
  <c r="K129" i="1"/>
  <c r="B93" i="1"/>
  <c r="K93" i="1"/>
  <c r="O93" i="1"/>
  <c r="K46" i="1"/>
  <c r="O46" i="1"/>
  <c r="O156" i="1"/>
  <c r="K156" i="1"/>
  <c r="B145" i="1"/>
  <c r="K145" i="1"/>
  <c r="O145" i="1"/>
  <c r="C189" i="1"/>
  <c r="K190" i="1"/>
  <c r="O190" i="1"/>
  <c r="J141" i="1"/>
  <c r="N141" i="1"/>
  <c r="N168" i="1"/>
  <c r="J168" i="1"/>
  <c r="D71" i="1"/>
  <c r="P72" i="1"/>
  <c r="L72" i="1"/>
  <c r="N85" i="1"/>
  <c r="J85" i="1"/>
  <c r="K151" i="1"/>
  <c r="O151" i="1"/>
  <c r="B166" i="1"/>
  <c r="K166" i="1"/>
  <c r="O166" i="1"/>
  <c r="O18" i="1"/>
  <c r="K18" i="1"/>
  <c r="B57" i="1"/>
  <c r="K67" i="1"/>
  <c r="O67" i="1"/>
  <c r="N104" i="1"/>
  <c r="J104" i="1"/>
  <c r="J84" i="1"/>
  <c r="N84" i="1"/>
  <c r="J192" i="1"/>
  <c r="N192" i="1"/>
  <c r="D189" i="1"/>
  <c r="L190" i="1"/>
  <c r="P190" i="1"/>
  <c r="K62" i="1"/>
  <c r="O62" i="1"/>
  <c r="D101" i="1"/>
  <c r="P102" i="1"/>
  <c r="L102" i="1"/>
  <c r="D160" i="1"/>
  <c r="L161" i="1"/>
  <c r="P161" i="1"/>
  <c r="J197" i="1"/>
  <c r="N197" i="1"/>
  <c r="Q14" i="1"/>
  <c r="M14" i="1"/>
  <c r="J25" i="1"/>
  <c r="N25" i="1"/>
  <c r="O36" i="1"/>
  <c r="K36" i="1"/>
  <c r="B30" i="1"/>
  <c r="O30" i="1"/>
  <c r="K30" i="1"/>
  <c r="C22" i="1"/>
  <c r="K24" i="1"/>
  <c r="O24" i="1"/>
  <c r="N202" i="1"/>
  <c r="J202" i="1"/>
  <c r="J59" i="1"/>
  <c r="N59" i="1"/>
  <c r="C194" i="1"/>
  <c r="K195" i="1"/>
  <c r="O195" i="1"/>
  <c r="D45" i="1"/>
  <c r="P46" i="1"/>
  <c r="L46" i="1"/>
  <c r="D106" i="1"/>
  <c r="L107" i="1"/>
  <c r="P107" i="1"/>
  <c r="N43" i="1"/>
  <c r="J43" i="1"/>
  <c r="L18" i="1"/>
  <c r="P18" i="1"/>
  <c r="J175" i="1"/>
  <c r="N175" i="1"/>
  <c r="D76" i="1"/>
  <c r="P77" i="1"/>
  <c r="L77" i="1"/>
  <c r="D29" i="1"/>
  <c r="P30" i="1"/>
  <c r="L30" i="1"/>
  <c r="C133" i="1"/>
  <c r="K134" i="1"/>
  <c r="O134" i="1"/>
  <c r="O107" i="1"/>
  <c r="K107" i="1"/>
  <c r="N23" i="1"/>
  <c r="J79" i="1"/>
  <c r="N79" i="1"/>
  <c r="J144" i="1"/>
  <c r="N144" i="1"/>
  <c r="N48" i="1"/>
  <c r="J48" i="1"/>
  <c r="N125" i="1"/>
  <c r="J125" i="1"/>
  <c r="D199" i="1"/>
  <c r="P200" i="1"/>
  <c r="L200" i="1"/>
  <c r="N27" i="1"/>
  <c r="J27" i="1"/>
  <c r="C92" i="1"/>
  <c r="B178" i="1"/>
  <c r="C143" i="1"/>
  <c r="B24" i="1"/>
  <c r="B123" i="1"/>
  <c r="N123" i="1" s="1"/>
  <c r="B134" i="1"/>
  <c r="C15" i="1"/>
  <c r="C183" i="1"/>
  <c r="B107" i="1"/>
  <c r="C106" i="1"/>
  <c r="B77" i="1"/>
  <c r="C76" i="1"/>
  <c r="C66" i="1"/>
  <c r="B67" i="1"/>
  <c r="C111" i="1"/>
  <c r="B112" i="1"/>
  <c r="B102" i="1"/>
  <c r="C101" i="1"/>
  <c r="B200" i="1"/>
  <c r="C199" i="1"/>
  <c r="B151" i="1"/>
  <c r="C150" i="1"/>
  <c r="C165" i="1"/>
  <c r="B72" i="1"/>
  <c r="C71" i="1"/>
  <c r="B36" i="1"/>
  <c r="C35" i="1"/>
  <c r="B172" i="1"/>
  <c r="C171" i="1"/>
  <c r="B52" i="1"/>
  <c r="N52" i="1" s="1"/>
  <c r="C155" i="1"/>
  <c r="B156" i="1"/>
  <c r="C29" i="1"/>
  <c r="B31" i="1"/>
  <c r="B129" i="1"/>
  <c r="C128" i="1"/>
  <c r="C160" i="1"/>
  <c r="B161" i="1"/>
  <c r="C40" i="1"/>
  <c r="B41" i="1"/>
  <c r="C87" i="1"/>
  <c r="B88" i="1"/>
  <c r="C81" i="1"/>
  <c r="C122" i="1"/>
  <c r="C17" i="1"/>
  <c r="C14" i="1"/>
  <c r="B18" i="1"/>
  <c r="B46" i="1"/>
  <c r="C45" i="1"/>
  <c r="B117" i="1"/>
  <c r="C116" i="1"/>
  <c r="D14" i="1"/>
  <c r="E13" i="1"/>
  <c r="J195" i="1" l="1"/>
  <c r="B177" i="1"/>
  <c r="N177" i="1" s="1"/>
  <c r="B138" i="1"/>
  <c r="N62" i="1"/>
  <c r="J173" i="1"/>
  <c r="O138" i="1"/>
  <c r="B128" i="1"/>
  <c r="K128" i="1"/>
  <c r="O128" i="1"/>
  <c r="B66" i="1"/>
  <c r="K66" i="1"/>
  <c r="O66" i="1"/>
  <c r="B92" i="1"/>
  <c r="K92" i="1"/>
  <c r="O92" i="1"/>
  <c r="P189" i="1"/>
  <c r="L189" i="1"/>
  <c r="O177" i="1"/>
  <c r="K177" i="1"/>
  <c r="J178" i="1"/>
  <c r="N178" i="1"/>
  <c r="N57" i="1"/>
  <c r="J57" i="1"/>
  <c r="O56" i="1"/>
  <c r="K56" i="1"/>
  <c r="B56" i="1"/>
  <c r="P66" i="1"/>
  <c r="L66" i="1"/>
  <c r="L29" i="1"/>
  <c r="P29" i="1"/>
  <c r="L106" i="1"/>
  <c r="P106" i="1"/>
  <c r="N124" i="1"/>
  <c r="J124" i="1"/>
  <c r="L194" i="1"/>
  <c r="P194" i="1"/>
  <c r="N72" i="1"/>
  <c r="J72" i="1"/>
  <c r="B22" i="1"/>
  <c r="K22" i="1"/>
  <c r="O22" i="1"/>
  <c r="P143" i="1"/>
  <c r="L143" i="1"/>
  <c r="L171" i="1"/>
  <c r="P171" i="1"/>
  <c r="P155" i="1"/>
  <c r="L155" i="1"/>
  <c r="L51" i="1"/>
  <c r="P51" i="1"/>
  <c r="N18" i="1"/>
  <c r="J18" i="1"/>
  <c r="J31" i="1"/>
  <c r="N31" i="1"/>
  <c r="J77" i="1"/>
  <c r="N77" i="1"/>
  <c r="B122" i="1"/>
  <c r="O122" i="1"/>
  <c r="K122" i="1"/>
  <c r="B29" i="1"/>
  <c r="O29" i="1"/>
  <c r="K29" i="1"/>
  <c r="B150" i="1"/>
  <c r="O150" i="1"/>
  <c r="K150" i="1"/>
  <c r="B106" i="1"/>
  <c r="K106" i="1"/>
  <c r="O106" i="1"/>
  <c r="N47" i="1"/>
  <c r="J47" i="1"/>
  <c r="P122" i="1"/>
  <c r="L122" i="1"/>
  <c r="J67" i="1"/>
  <c r="N67" i="1"/>
  <c r="L71" i="1"/>
  <c r="P71" i="1"/>
  <c r="B17" i="1"/>
  <c r="O17" i="1"/>
  <c r="K17" i="1"/>
  <c r="B81" i="1"/>
  <c r="O81" i="1"/>
  <c r="K81" i="1"/>
  <c r="N156" i="1"/>
  <c r="J156" i="1"/>
  <c r="J151" i="1"/>
  <c r="N151" i="1"/>
  <c r="J107" i="1"/>
  <c r="N107" i="1"/>
  <c r="P76" i="1"/>
  <c r="L76" i="1"/>
  <c r="P45" i="1"/>
  <c r="L45" i="1"/>
  <c r="P160" i="1"/>
  <c r="L160" i="1"/>
  <c r="J166" i="1"/>
  <c r="N166" i="1"/>
  <c r="N93" i="1"/>
  <c r="J93" i="1"/>
  <c r="J36" i="1"/>
  <c r="N36" i="1"/>
  <c r="P116" i="1"/>
  <c r="L116" i="1"/>
  <c r="B155" i="1"/>
  <c r="O155" i="1"/>
  <c r="K155" i="1"/>
  <c r="B199" i="1"/>
  <c r="K199" i="1"/>
  <c r="O199" i="1"/>
  <c r="B183" i="1"/>
  <c r="O183" i="1"/>
  <c r="K183" i="1"/>
  <c r="J30" i="1"/>
  <c r="N30" i="1"/>
  <c r="P81" i="1"/>
  <c r="L81" i="1"/>
  <c r="P111" i="1"/>
  <c r="L111" i="1"/>
  <c r="L61" i="1"/>
  <c r="P61" i="1"/>
  <c r="J184" i="1"/>
  <c r="N184" i="1"/>
  <c r="B71" i="1"/>
  <c r="K71" i="1"/>
  <c r="O71" i="1"/>
  <c r="N200" i="1"/>
  <c r="J200" i="1"/>
  <c r="B189" i="1"/>
  <c r="O189" i="1"/>
  <c r="K189" i="1"/>
  <c r="P92" i="1"/>
  <c r="L92" i="1"/>
  <c r="B61" i="1"/>
  <c r="P133" i="1"/>
  <c r="L133" i="1"/>
  <c r="L183" i="1"/>
  <c r="P183" i="1"/>
  <c r="B76" i="1"/>
  <c r="O76" i="1"/>
  <c r="K76" i="1"/>
  <c r="M13" i="1"/>
  <c r="Q13" i="1"/>
  <c r="N134" i="1"/>
  <c r="J134" i="1"/>
  <c r="K194" i="1"/>
  <c r="O194" i="1"/>
  <c r="B194" i="1"/>
  <c r="P101" i="1"/>
  <c r="L101" i="1"/>
  <c r="L128" i="1"/>
  <c r="P128" i="1"/>
  <c r="P138" i="1"/>
  <c r="L138" i="1"/>
  <c r="L150" i="1"/>
  <c r="P150" i="1"/>
  <c r="D13" i="1"/>
  <c r="L13" i="1" s="1"/>
  <c r="P14" i="1"/>
  <c r="L14" i="1"/>
  <c r="B101" i="1"/>
  <c r="K101" i="1"/>
  <c r="O101" i="1"/>
  <c r="P87" i="1"/>
  <c r="L87" i="1"/>
  <c r="J138" i="1"/>
  <c r="N138" i="1"/>
  <c r="P177" i="1"/>
  <c r="L177" i="1"/>
  <c r="J129" i="1"/>
  <c r="N129" i="1"/>
  <c r="N88" i="1"/>
  <c r="J88" i="1"/>
  <c r="B87" i="1"/>
  <c r="K87" i="1"/>
  <c r="O87" i="1"/>
  <c r="J41" i="1"/>
  <c r="N41" i="1"/>
  <c r="B40" i="1"/>
  <c r="O40" i="1"/>
  <c r="K40" i="1"/>
  <c r="J102" i="1"/>
  <c r="N102" i="1"/>
  <c r="J161" i="1"/>
  <c r="N161" i="1"/>
  <c r="J112" i="1"/>
  <c r="N112" i="1"/>
  <c r="N24" i="1"/>
  <c r="J24" i="1"/>
  <c r="J145" i="1"/>
  <c r="N145" i="1"/>
  <c r="J82" i="1"/>
  <c r="N82" i="1"/>
  <c r="J83" i="1"/>
  <c r="N83" i="1"/>
  <c r="P56" i="1"/>
  <c r="L56" i="1"/>
  <c r="N46" i="1"/>
  <c r="J46" i="1"/>
  <c r="P199" i="1"/>
  <c r="L199" i="1"/>
  <c r="B116" i="1"/>
  <c r="O116" i="1"/>
  <c r="K116" i="1"/>
  <c r="B171" i="1"/>
  <c r="N171" i="1" s="1"/>
  <c r="O171" i="1"/>
  <c r="K171" i="1"/>
  <c r="J117" i="1"/>
  <c r="N117" i="1"/>
  <c r="N172" i="1"/>
  <c r="J172" i="1"/>
  <c r="B45" i="1"/>
  <c r="O45" i="1"/>
  <c r="K45" i="1"/>
  <c r="B160" i="1"/>
  <c r="K160" i="1"/>
  <c r="O160" i="1"/>
  <c r="B35" i="1"/>
  <c r="O35" i="1"/>
  <c r="K35" i="1"/>
  <c r="B111" i="1"/>
  <c r="K111" i="1"/>
  <c r="O111" i="1"/>
  <c r="B143" i="1"/>
  <c r="K143" i="1"/>
  <c r="O143" i="1"/>
  <c r="B133" i="1"/>
  <c r="K133" i="1"/>
  <c r="O133" i="1"/>
  <c r="L22" i="1"/>
  <c r="P22" i="1"/>
  <c r="P35" i="1"/>
  <c r="L35" i="1"/>
  <c r="B15" i="1"/>
  <c r="J15" i="1" s="1"/>
  <c r="O15" i="1"/>
  <c r="K15" i="1"/>
  <c r="B165" i="1"/>
  <c r="K14" i="1"/>
  <c r="O14" i="1"/>
  <c r="P13" i="1"/>
  <c r="C13" i="1"/>
  <c r="B14" i="1"/>
  <c r="J177" i="1" l="1"/>
  <c r="J171" i="1"/>
  <c r="J106" i="1"/>
  <c r="N106" i="1"/>
  <c r="J143" i="1"/>
  <c r="N143" i="1"/>
  <c r="N76" i="1"/>
  <c r="J76" i="1"/>
  <c r="J17" i="1"/>
  <c r="N17" i="1"/>
  <c r="J111" i="1"/>
  <c r="N111" i="1"/>
  <c r="N22" i="1"/>
  <c r="J22" i="1"/>
  <c r="J87" i="1"/>
  <c r="N87" i="1"/>
  <c r="N150" i="1"/>
  <c r="J150" i="1"/>
  <c r="J56" i="1"/>
  <c r="N56" i="1"/>
  <c r="J101" i="1"/>
  <c r="N101" i="1"/>
  <c r="N194" i="1"/>
  <c r="J194" i="1"/>
  <c r="J71" i="1"/>
  <c r="N71" i="1"/>
  <c r="N92" i="1"/>
  <c r="J92" i="1"/>
  <c r="N35" i="1"/>
  <c r="J35" i="1"/>
  <c r="J183" i="1"/>
  <c r="N183" i="1"/>
  <c r="N155" i="1"/>
  <c r="J155" i="1"/>
  <c r="J61" i="1"/>
  <c r="N61" i="1"/>
  <c r="N29" i="1"/>
  <c r="J29" i="1"/>
  <c r="N15" i="1"/>
  <c r="J66" i="1"/>
  <c r="N66" i="1"/>
  <c r="J45" i="1"/>
  <c r="N45" i="1"/>
  <c r="J189" i="1"/>
  <c r="N189" i="1"/>
  <c r="N133" i="1"/>
  <c r="J133" i="1"/>
  <c r="J160" i="1"/>
  <c r="N160" i="1"/>
  <c r="N40" i="1"/>
  <c r="J40" i="1"/>
  <c r="N199" i="1"/>
  <c r="J199" i="1"/>
  <c r="J116" i="1"/>
  <c r="N116" i="1"/>
  <c r="J122" i="1"/>
  <c r="N122" i="1"/>
  <c r="N81" i="1"/>
  <c r="J81" i="1"/>
  <c r="J128" i="1"/>
  <c r="N128" i="1"/>
  <c r="J14" i="1"/>
  <c r="N14" i="1"/>
  <c r="B13" i="1"/>
  <c r="N13" i="1" s="1"/>
  <c r="K13" i="1"/>
  <c r="O13" i="1"/>
  <c r="Q165" i="1"/>
  <c r="P165" i="1"/>
  <c r="L165" i="1"/>
  <c r="O165" i="1"/>
  <c r="K165" i="1"/>
  <c r="F165" i="1"/>
  <c r="N165" i="1" s="1"/>
  <c r="J13" i="1" l="1"/>
  <c r="J165" i="1"/>
</calcChain>
</file>

<file path=xl/sharedStrings.xml><?xml version="1.0" encoding="utf-8"?>
<sst xmlns="http://schemas.openxmlformats.org/spreadsheetml/2006/main" count="219" uniqueCount="99">
  <si>
    <t>Total nivelul I</t>
  </si>
  <si>
    <t>Total nivelul II</t>
  </si>
  <si>
    <t>Total general</t>
  </si>
  <si>
    <t>9</t>
  </si>
  <si>
    <t>8</t>
  </si>
  <si>
    <t>5</t>
  </si>
  <si>
    <t>4</t>
  </si>
  <si>
    <t>3</t>
  </si>
  <si>
    <t>1</t>
  </si>
  <si>
    <t>gestionarea crizeri refugiaților din Ucraina</t>
  </si>
  <si>
    <t>inclusiv</t>
  </si>
  <si>
    <t>Total</t>
  </si>
  <si>
    <t>în %</t>
  </si>
  <si>
    <t>devieri (+,-)</t>
  </si>
  <si>
    <t>Executat față de precizat pe an</t>
  </si>
  <si>
    <t>Executat</t>
  </si>
  <si>
    <t>Precizat pe an</t>
  </si>
  <si>
    <t xml:space="preserve">Unitatea administrativ-teritorială </t>
  </si>
  <si>
    <t>pentru lichidarea consecințelor calamităților naturale (inclusiv studii tehnice)</t>
  </si>
  <si>
    <t>2 = 3+4+5</t>
  </si>
  <si>
    <t>7</t>
  </si>
  <si>
    <t>6 =7+8+9</t>
  </si>
  <si>
    <t>10=6-2</t>
  </si>
  <si>
    <t>11=7-3</t>
  </si>
  <si>
    <t>12=8-4</t>
  </si>
  <si>
    <t>13=9-5</t>
  </si>
  <si>
    <t>14=6/2 *100</t>
  </si>
  <si>
    <t>15= 7/3 *100</t>
  </si>
  <si>
    <t>16=8/4*100</t>
  </si>
  <si>
    <t>17=9/5*100</t>
  </si>
  <si>
    <t>mii lei</t>
  </si>
  <si>
    <t>pentru acordarea îndemnizaţiilor unice angajaţilor infectaţi cu COVID-19</t>
  </si>
  <si>
    <t>mun. Bălți</t>
  </si>
  <si>
    <t>Consiliul Municipal</t>
  </si>
  <si>
    <t>mun. Chișinău</t>
  </si>
  <si>
    <t>Stăuceni</t>
  </si>
  <si>
    <t>Vadul lui Vodă</t>
  </si>
  <si>
    <t>Anenii Noi</t>
  </si>
  <si>
    <t>Consiliul Raional</t>
  </si>
  <si>
    <t>Basarabeasca</t>
  </si>
  <si>
    <t>Briceni</t>
  </si>
  <si>
    <t>Cahul</t>
  </si>
  <si>
    <t>Cantemir</t>
  </si>
  <si>
    <t>Călărași</t>
  </si>
  <si>
    <t>Căușeni</t>
  </si>
  <si>
    <t>Taraclia</t>
  </si>
  <si>
    <t>Cimișlia</t>
  </si>
  <si>
    <t>Criuleni</t>
  </si>
  <si>
    <t>Dondușeni</t>
  </si>
  <si>
    <t>Tîrnova</t>
  </si>
  <si>
    <t>Drochia</t>
  </si>
  <si>
    <t>Ochiul Alb</t>
  </si>
  <si>
    <t>Dubăsari</t>
  </si>
  <si>
    <t>Edineț</t>
  </si>
  <si>
    <t>Bădragii Noi</t>
  </si>
  <si>
    <t>Fetești</t>
  </si>
  <si>
    <t>Viișoara</t>
  </si>
  <si>
    <t>Fălești</t>
  </si>
  <si>
    <t>Hîncești</t>
  </si>
  <si>
    <t>Florești</t>
  </si>
  <si>
    <t>Glodeni</t>
  </si>
  <si>
    <t>Ialoveni</t>
  </si>
  <si>
    <t>Costești</t>
  </si>
  <si>
    <t>Leova</t>
  </si>
  <si>
    <t>Nisporeni</t>
  </si>
  <si>
    <t>Ocnița</t>
  </si>
  <si>
    <t>Orhei</t>
  </si>
  <si>
    <t>Ivancea</t>
  </si>
  <si>
    <t>Rezina</t>
  </si>
  <si>
    <t>Rîșcani</t>
  </si>
  <si>
    <t>Sîngerei</t>
  </si>
  <si>
    <t>Soroca</t>
  </si>
  <si>
    <t>Schineni</t>
  </si>
  <si>
    <t>Strășeni</t>
  </si>
  <si>
    <t>Greblești</t>
  </si>
  <si>
    <t>Șoldănești</t>
  </si>
  <si>
    <t>Ștefan Vodă</t>
  </si>
  <si>
    <t>Crocmaz</t>
  </si>
  <si>
    <t>Telenești</t>
  </si>
  <si>
    <t>Ungheni</t>
  </si>
  <si>
    <t>UTA Găgăuzia</t>
  </si>
  <si>
    <t>Formularul nr.16</t>
  </si>
  <si>
    <t>aprobat prin ordinul ministrului finanțelor</t>
  </si>
  <si>
    <t>nr.35 din 29 martie 2023</t>
  </si>
  <si>
    <t>Șef Direcție politici și sinteză bugetară</t>
  </si>
  <si>
    <t>Șef Secție raportare</t>
  </si>
  <si>
    <t>Șef Direcție Trezoreria de Stat</t>
  </si>
  <si>
    <t>Veronica Sirețeanu</t>
  </si>
  <si>
    <t>Dina Roșca</t>
  </si>
  <si>
    <t>Natalia Sclearuc</t>
  </si>
  <si>
    <t>Maxim Ciobanu</t>
  </si>
  <si>
    <t>Șef Direcție politici bugetare sectoriale</t>
  </si>
  <si>
    <t>Vasile Botica</t>
  </si>
  <si>
    <t>Nadejda Slova</t>
  </si>
  <si>
    <t>Ministrul Finanțelor</t>
  </si>
  <si>
    <t>Secretar general al ministerului</t>
  </si>
  <si>
    <t xml:space="preserve">Raport
privind transferurile din Fondurile de urgență ale Guvernului de la bugetul de stat către bugetele locale pe anul 2022
</t>
  </si>
  <si>
    <t>Ion Iaconi</t>
  </si>
  <si>
    <t>Șef Secție bugetele locale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</si>
</sst>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4">
    <xf numFmtId="0" fontId="0" fillId="0" borderId="0" xfId="0"/>
    <xf numFmtId="164" fontId="2" fillId="0" borderId="0" xfId="0" applyNumberFormat="1" applyFont="1"/>
    <xf numFmtId="164" fontId="4" fillId="0" borderId="1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0" fillId="0" borderId="0" xfId="0" applyFill="1"/>
    <xf numFmtId="0" fontId="13" fillId="0" borderId="0" xfId="0" applyFont="1"/>
    <xf numFmtId="0" fontId="13" fillId="0" borderId="0" xfId="0" applyFont="1" applyFill="1"/>
    <xf numFmtId="0" fontId="0" fillId="0" borderId="0" xfId="0" applyFont="1"/>
    <xf numFmtId="0" fontId="0" fillId="0" borderId="0" xfId="0" applyFont="1" applyFill="1"/>
    <xf numFmtId="0" fontId="13" fillId="0" borderId="0" xfId="0" applyFont="1" applyAlignment="1">
      <alignment horizontal="left"/>
    </xf>
    <xf numFmtId="0" fontId="14" fillId="0" borderId="0" xfId="0" applyFont="1" applyAlignment="1">
      <alignment horizontal="left" vertical="center"/>
    </xf>
    <xf numFmtId="0" fontId="10" fillId="0" borderId="1" xfId="1" applyNumberFormat="1" applyFont="1" applyFill="1" applyBorder="1" applyAlignment="1">
      <alignment vertical="center" wrapText="1"/>
    </xf>
    <xf numFmtId="164" fontId="10" fillId="0" borderId="1" xfId="1" applyNumberFormat="1" applyFont="1" applyFill="1" applyBorder="1" applyAlignment="1">
      <alignment horizontal="right" vertical="center"/>
    </xf>
    <xf numFmtId="164" fontId="10" fillId="0" borderId="1" xfId="0" applyNumberFormat="1" applyFont="1" applyBorder="1" applyAlignment="1">
      <alignment horizontal="right" vertical="center"/>
    </xf>
    <xf numFmtId="164" fontId="10" fillId="0" borderId="1" xfId="0" applyNumberFormat="1" applyFont="1" applyFill="1" applyBorder="1" applyAlignment="1">
      <alignment horizontal="right" vertical="center"/>
    </xf>
    <xf numFmtId="164" fontId="10" fillId="0" borderId="1" xfId="0" applyNumberFormat="1" applyFont="1" applyBorder="1"/>
    <xf numFmtId="0" fontId="8" fillId="0" borderId="1" xfId="0" applyFont="1" applyBorder="1"/>
    <xf numFmtId="164" fontId="8" fillId="0" borderId="1" xfId="0" applyNumberFormat="1" applyFont="1" applyBorder="1"/>
    <xf numFmtId="164" fontId="8" fillId="0" borderId="1" xfId="0" applyNumberFormat="1" applyFont="1" applyFill="1" applyBorder="1"/>
    <xf numFmtId="164" fontId="11" fillId="0" borderId="1" xfId="0" applyNumberFormat="1" applyFont="1" applyBorder="1"/>
    <xf numFmtId="164" fontId="11" fillId="0" borderId="1" xfId="0" applyNumberFormat="1" applyFont="1" applyFill="1" applyBorder="1"/>
    <xf numFmtId="0" fontId="9" fillId="0" borderId="1" xfId="1" applyNumberFormat="1" applyFont="1" applyFill="1" applyBorder="1" applyAlignment="1">
      <alignment vertical="center" wrapText="1"/>
    </xf>
    <xf numFmtId="164" fontId="9" fillId="0" borderId="1" xfId="0" applyNumberFormat="1" applyFont="1" applyFill="1" applyBorder="1" applyAlignment="1">
      <alignment horizontal="right" vertic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left" vertical="center"/>
    </xf>
    <xf numFmtId="0" fontId="12" fillId="0" borderId="0" xfId="0" applyFont="1" applyAlignment="1">
      <alignment horizontal="right"/>
    </xf>
    <xf numFmtId="164" fontId="6" fillId="0" borderId="1" xfId="2" applyNumberFormat="1" applyFont="1" applyFill="1" applyBorder="1" applyAlignment="1">
      <alignment horizontal="center" vertical="center" wrapText="1"/>
    </xf>
    <xf numFmtId="0" fontId="7" fillId="0" borderId="0" xfId="0" applyNumberFormat="1" applyFont="1" applyAlignment="1">
      <alignment horizontal="center" vertical="center" wrapText="1"/>
    </xf>
    <xf numFmtId="0" fontId="6" fillId="0" borderId="1" xfId="2" applyNumberFormat="1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</cellXfs>
  <cellStyles count="3">
    <cellStyle name="Normal_Formele 1, 2,3,4_2003 2" xfId="2"/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28"/>
  <sheetViews>
    <sheetView tabSelected="1" topLeftCell="A190" zoomScaleNormal="100" workbookViewId="0">
      <pane xSplit="1" topLeftCell="B1" activePane="topRight" state="frozen"/>
      <selection activeCell="A70" sqref="A70"/>
      <selection pane="topRight" activeCell="J216" sqref="J216"/>
    </sheetView>
  </sheetViews>
  <sheetFormatPr defaultRowHeight="15" x14ac:dyDescent="0.25"/>
  <cols>
    <col min="1" max="1" width="16.85546875" customWidth="1"/>
    <col min="2" max="2" width="9.7109375" customWidth="1"/>
    <col min="3" max="3" width="13.140625" customWidth="1"/>
    <col min="4" max="4" width="18.7109375" customWidth="1"/>
    <col min="5" max="5" width="13.5703125" customWidth="1"/>
    <col min="6" max="6" width="9" style="7" customWidth="1"/>
    <col min="7" max="7" width="11.42578125" style="7" customWidth="1"/>
    <col min="8" max="8" width="13" style="7" customWidth="1"/>
    <col min="9" max="9" width="16.5703125" style="7" customWidth="1"/>
    <col min="11" max="11" width="12.85546875" customWidth="1"/>
    <col min="12" max="12" width="17.85546875" customWidth="1"/>
    <col min="13" max="13" width="18" customWidth="1"/>
    <col min="14" max="14" width="9.42578125" customWidth="1"/>
    <col min="15" max="15" width="14.28515625" customWidth="1"/>
    <col min="16" max="16" width="14.7109375" customWidth="1"/>
    <col min="17" max="17" width="13.5703125" customWidth="1"/>
  </cols>
  <sheetData>
    <row r="1" spans="1:17" x14ac:dyDescent="0.25">
      <c r="P1" s="29" t="s">
        <v>81</v>
      </c>
      <c r="Q1" s="29"/>
    </row>
    <row r="2" spans="1:17" x14ac:dyDescent="0.25">
      <c r="P2" s="29" t="s">
        <v>82</v>
      </c>
      <c r="Q2" s="29"/>
    </row>
    <row r="3" spans="1:17" ht="12.75" customHeight="1" x14ac:dyDescent="0.25">
      <c r="P3" s="29" t="s">
        <v>83</v>
      </c>
      <c r="Q3" s="29"/>
    </row>
    <row r="4" spans="1:17" ht="15.75" customHeight="1" x14ac:dyDescent="0.25">
      <c r="A4" s="31" t="s">
        <v>96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</row>
    <row r="5" spans="1:17" ht="42" customHeight="1" x14ac:dyDescent="0.2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</row>
    <row r="6" spans="1:17" x14ac:dyDescent="0.25">
      <c r="Q6" s="6" t="s">
        <v>30</v>
      </c>
    </row>
    <row r="7" spans="1:17" ht="15" customHeight="1" x14ac:dyDescent="0.25">
      <c r="A7" s="33" t="s">
        <v>17</v>
      </c>
      <c r="B7" s="32" t="s">
        <v>16</v>
      </c>
      <c r="C7" s="32"/>
      <c r="D7" s="32"/>
      <c r="E7" s="32"/>
      <c r="F7" s="32" t="s">
        <v>15</v>
      </c>
      <c r="G7" s="32"/>
      <c r="H7" s="32"/>
      <c r="I7" s="32"/>
      <c r="J7" s="32" t="s">
        <v>14</v>
      </c>
      <c r="K7" s="32"/>
      <c r="L7" s="32"/>
      <c r="M7" s="32"/>
      <c r="N7" s="32"/>
      <c r="O7" s="32"/>
      <c r="P7" s="32"/>
      <c r="Q7" s="32"/>
    </row>
    <row r="8" spans="1:17" ht="15" customHeight="1" x14ac:dyDescent="0.25">
      <c r="A8" s="33"/>
      <c r="B8" s="32"/>
      <c r="C8" s="32"/>
      <c r="D8" s="32"/>
      <c r="E8" s="32"/>
      <c r="F8" s="32"/>
      <c r="G8" s="32"/>
      <c r="H8" s="32"/>
      <c r="I8" s="32"/>
      <c r="J8" s="32" t="s">
        <v>13</v>
      </c>
      <c r="K8" s="32"/>
      <c r="L8" s="32"/>
      <c r="M8" s="32"/>
      <c r="N8" s="32" t="s">
        <v>12</v>
      </c>
      <c r="O8" s="32"/>
      <c r="P8" s="32"/>
      <c r="Q8" s="32"/>
    </row>
    <row r="9" spans="1:17" x14ac:dyDescent="0.25">
      <c r="A9" s="33"/>
      <c r="B9" s="30" t="s">
        <v>11</v>
      </c>
      <c r="C9" s="32" t="s">
        <v>10</v>
      </c>
      <c r="D9" s="32"/>
      <c r="E9" s="32"/>
      <c r="F9" s="30" t="s">
        <v>11</v>
      </c>
      <c r="G9" s="32" t="s">
        <v>10</v>
      </c>
      <c r="H9" s="32"/>
      <c r="I9" s="32"/>
      <c r="J9" s="30" t="s">
        <v>11</v>
      </c>
      <c r="K9" s="32" t="s">
        <v>10</v>
      </c>
      <c r="L9" s="32"/>
      <c r="M9" s="32"/>
      <c r="N9" s="30" t="s">
        <v>11</v>
      </c>
      <c r="O9" s="32" t="s">
        <v>10</v>
      </c>
      <c r="P9" s="32"/>
      <c r="Q9" s="32"/>
    </row>
    <row r="10" spans="1:17" ht="125.25" customHeight="1" x14ac:dyDescent="0.25">
      <c r="A10" s="33"/>
      <c r="B10" s="30"/>
      <c r="C10" s="30" t="s">
        <v>9</v>
      </c>
      <c r="D10" s="30" t="s">
        <v>31</v>
      </c>
      <c r="E10" s="30" t="s">
        <v>18</v>
      </c>
      <c r="F10" s="30"/>
      <c r="G10" s="30" t="s">
        <v>9</v>
      </c>
      <c r="H10" s="30" t="s">
        <v>31</v>
      </c>
      <c r="I10" s="30" t="s">
        <v>18</v>
      </c>
      <c r="J10" s="30"/>
      <c r="K10" s="30" t="s">
        <v>9</v>
      </c>
      <c r="L10" s="30" t="s">
        <v>31</v>
      </c>
      <c r="M10" s="30" t="s">
        <v>18</v>
      </c>
      <c r="N10" s="30"/>
      <c r="O10" s="30" t="s">
        <v>9</v>
      </c>
      <c r="P10" s="30" t="s">
        <v>31</v>
      </c>
      <c r="Q10" s="30" t="s">
        <v>18</v>
      </c>
    </row>
    <row r="11" spans="1:17" ht="125.25" customHeight="1" x14ac:dyDescent="0.25">
      <c r="A11" s="33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</row>
    <row r="12" spans="1:17" ht="27" customHeight="1" x14ac:dyDescent="0.25">
      <c r="A12" s="5" t="s">
        <v>8</v>
      </c>
      <c r="B12" s="4" t="s">
        <v>19</v>
      </c>
      <c r="C12" s="4" t="s">
        <v>7</v>
      </c>
      <c r="D12" s="4" t="s">
        <v>6</v>
      </c>
      <c r="E12" s="4" t="s">
        <v>5</v>
      </c>
      <c r="F12" s="4" t="s">
        <v>21</v>
      </c>
      <c r="G12" s="4" t="s">
        <v>20</v>
      </c>
      <c r="H12" s="4" t="s">
        <v>4</v>
      </c>
      <c r="I12" s="4" t="s">
        <v>3</v>
      </c>
      <c r="J12" s="3" t="s">
        <v>22</v>
      </c>
      <c r="K12" s="3" t="s">
        <v>23</v>
      </c>
      <c r="L12" s="3" t="s">
        <v>24</v>
      </c>
      <c r="M12" s="3" t="s">
        <v>25</v>
      </c>
      <c r="N12" s="3" t="s">
        <v>26</v>
      </c>
      <c r="O12" s="3" t="s">
        <v>27</v>
      </c>
      <c r="P12" s="3" t="s">
        <v>28</v>
      </c>
      <c r="Q12" s="2" t="s">
        <v>29</v>
      </c>
    </row>
    <row r="13" spans="1:17" ht="13.5" customHeight="1" x14ac:dyDescent="0.25">
      <c r="A13" s="14" t="s">
        <v>2</v>
      </c>
      <c r="B13" s="15">
        <f>SUM(C13:E13)</f>
        <v>101177.5</v>
      </c>
      <c r="C13" s="16">
        <f>C14+C15</f>
        <v>60698.5</v>
      </c>
      <c r="D13" s="16">
        <f>D14+D15</f>
        <v>32672</v>
      </c>
      <c r="E13" s="16">
        <f>E14+E15</f>
        <v>7807</v>
      </c>
      <c r="F13" s="17">
        <f>SUM(G13:I13)</f>
        <v>84840.099999999991</v>
      </c>
      <c r="G13" s="17">
        <f t="shared" ref="G13:I13" si="0">G14+G15</f>
        <v>44905.2</v>
      </c>
      <c r="H13" s="17">
        <f>H14+H15</f>
        <v>32128</v>
      </c>
      <c r="I13" s="17">
        <f t="shared" si="0"/>
        <v>7806.9</v>
      </c>
      <c r="J13" s="18">
        <f>F13-B13</f>
        <v>-16337.400000000009</v>
      </c>
      <c r="K13" s="18">
        <f>G13-C13</f>
        <v>-15793.300000000003</v>
      </c>
      <c r="L13" s="18">
        <f>H13-D13</f>
        <v>-544</v>
      </c>
      <c r="M13" s="18">
        <f>I13-E13</f>
        <v>-0.1000000000003638</v>
      </c>
      <c r="N13" s="18">
        <f>F13/B13*100</f>
        <v>83.852734056484877</v>
      </c>
      <c r="O13" s="18">
        <f>G13/C13*100</f>
        <v>73.980740874980427</v>
      </c>
      <c r="P13" s="18">
        <f>H13/D13*100</f>
        <v>98.334965719882476</v>
      </c>
      <c r="Q13" s="18">
        <f>I13/E13*100</f>
        <v>99.998719098245161</v>
      </c>
    </row>
    <row r="14" spans="1:17" ht="11.25" customHeight="1" x14ac:dyDescent="0.25">
      <c r="A14" s="14" t="s">
        <v>1</v>
      </c>
      <c r="B14" s="15">
        <f t="shared" ref="B14:B33" si="1">SUM(C14:E14)</f>
        <v>90800.5</v>
      </c>
      <c r="C14" s="15">
        <f>C18+C23+C30+C36+C41+C46+C52+C57+C62+C67+C72+C77+C82+C88+C93+C102+C107+C112+C117+C123+C129+C134+C139+C144+C156+C161+C166+C172+C178+C184+C190+C195+C200+C204+C151</f>
        <v>54896.9</v>
      </c>
      <c r="D14" s="15">
        <f>D18+D23+D30+D36+D41+D46+D52+D57+D62+D67+D72+D77+D82+D88+D93+D102+D107+D112+D117+D123+D129+D134+D139+D144+D156+D161+D166+D172+D178+D184+D190+D195+D200+D204+D151</f>
        <v>32672</v>
      </c>
      <c r="E14" s="15">
        <f>E18+E23+E30+E36+E41+E46+E52+E57+E62+E67+E72+E77+E82+E88+E93+E102+E107+E112+E117+E123+E129+E134+E139+E144+E156+E161+E166+E172+E178+E184+E190+E195+E200+E204</f>
        <v>3231.6</v>
      </c>
      <c r="F14" s="17">
        <f t="shared" ref="F14:F33" si="2">SUM(G14:I14)</f>
        <v>75870.8</v>
      </c>
      <c r="G14" s="15">
        <f>G18+G23+G30+G36+G41+G46+G52+G57+G62+G67+G72+G77+G82+G88+G93+G102+G107+G112+G117+G123+G129+G134+G139+G144+G156+G161+G166+G172+G178+G184+G190+G195+G200+G204+G151</f>
        <v>40511.199999999997</v>
      </c>
      <c r="H14" s="15">
        <f>H18+H23+H30+H36+H41+H46+H52+H57+H62+H67+H72+H77+H82+H88+H93+H102+H107+H112+H117+H123+H129+H134+H139+H144+H156+H161+H166+H172+H178+H184+H190+H195+H200+H204+H151</f>
        <v>32128</v>
      </c>
      <c r="I14" s="15">
        <f>I18+I23+I30+I36+I41+I46+I52+I57+I62+I67+I72+I77+I82+I88+I93+I102+I107+I112+I117+I123+I129+I134+I139+I144+I156+I161+I166+I172+I178+I184+I190+I195+I200+I204</f>
        <v>3231.6</v>
      </c>
      <c r="J14" s="18">
        <f t="shared" ref="J14:J77" si="3">F14-B14</f>
        <v>-14929.699999999997</v>
      </c>
      <c r="K14" s="18">
        <f t="shared" ref="K14:K77" si="4">G14-C14</f>
        <v>-14385.700000000004</v>
      </c>
      <c r="L14" s="18">
        <f t="shared" ref="L14:L30" si="5">H14-D14</f>
        <v>-544</v>
      </c>
      <c r="M14" s="18">
        <f t="shared" ref="M14:M15" si="6">I14-E14</f>
        <v>0</v>
      </c>
      <c r="N14" s="18">
        <f t="shared" ref="N14:N15" si="7">F14/B14*100</f>
        <v>83.557689660299232</v>
      </c>
      <c r="O14" s="18">
        <f t="shared" ref="O14:O15" si="8">G14/C14*100</f>
        <v>73.795059466017193</v>
      </c>
      <c r="P14" s="18">
        <f t="shared" ref="P14" si="9">H14/D14*100</f>
        <v>98.334965719882476</v>
      </c>
      <c r="Q14" s="18">
        <f>I14/E14*100</f>
        <v>100</v>
      </c>
    </row>
    <row r="15" spans="1:17" ht="15.75" customHeight="1" x14ac:dyDescent="0.25">
      <c r="A15" s="14" t="s">
        <v>0</v>
      </c>
      <c r="B15" s="15">
        <f t="shared" si="1"/>
        <v>10377</v>
      </c>
      <c r="C15" s="15">
        <f>C24+C31+C37+C42+C47+C53+C58+C63+C68+C73+C78+C83+C89+C94+C103+C108+C113+C118+C124+C130+C135+C140+C145+C152+C157+C162+C167+C173+C179+C185+C191+C196+C201</f>
        <v>5801.5999999999995</v>
      </c>
      <c r="D15" s="15"/>
      <c r="E15" s="15">
        <f>E24+E31+E37+E42+E47+E53+E58+E63+E68+E73+E78+E83+E89+E94+E103+E108+E113+E118+E124+E130+E135+E140+E145+E152+E157+E162+E167+E173+E179+E185+E191+E196+E201</f>
        <v>4575.4000000000005</v>
      </c>
      <c r="F15" s="17">
        <f t="shared" si="2"/>
        <v>8969.2999999999993</v>
      </c>
      <c r="G15" s="15">
        <f>G24+G31+G37+G42+G47+G53+G58+G63+G68+G73+G78+G83+G89+G94+G103+G108+G113+G118+G124+G130+G135+G140+G145+G152+G157+G162+G167+G173+G179+G185+G191+G196+G201</f>
        <v>4394</v>
      </c>
      <c r="H15" s="15"/>
      <c r="I15" s="15">
        <f>I24+I31+I37+I42+I47+I53+I58+I63+I68+I73+I78+I83+I89+I94+I103+I108+I113+I118+I124+I130+I135+I140+I145+I152+I157+I162+I167+I173+I179+I185+I191+I196+I201</f>
        <v>4575.3</v>
      </c>
      <c r="J15" s="18">
        <f t="shared" si="3"/>
        <v>-1407.7000000000007</v>
      </c>
      <c r="K15" s="18">
        <f t="shared" si="4"/>
        <v>-1407.5999999999995</v>
      </c>
      <c r="L15" s="18"/>
      <c r="M15" s="18">
        <f t="shared" si="6"/>
        <v>-0.1000000000003638</v>
      </c>
      <c r="N15" s="18">
        <f t="shared" si="7"/>
        <v>86.434422280042384</v>
      </c>
      <c r="O15" s="18">
        <f t="shared" si="8"/>
        <v>75.737727523441805</v>
      </c>
      <c r="P15" s="18"/>
      <c r="Q15" s="18">
        <f t="shared" ref="Q15" si="10">I15/E15*100</f>
        <v>99.997814398741085</v>
      </c>
    </row>
    <row r="16" spans="1:17" x14ac:dyDescent="0.25">
      <c r="A16" s="19"/>
      <c r="B16" s="15"/>
      <c r="C16" s="20"/>
      <c r="D16" s="20"/>
      <c r="E16" s="20"/>
      <c r="F16" s="17"/>
      <c r="G16" s="21"/>
      <c r="H16" s="21"/>
      <c r="I16" s="21"/>
      <c r="J16" s="18"/>
      <c r="K16" s="18"/>
      <c r="L16" s="18"/>
      <c r="M16" s="18"/>
      <c r="N16" s="19"/>
      <c r="O16" s="19"/>
      <c r="P16" s="19"/>
      <c r="Q16" s="18"/>
    </row>
    <row r="17" spans="1:17" x14ac:dyDescent="0.25">
      <c r="A17" s="14" t="s">
        <v>32</v>
      </c>
      <c r="B17" s="15">
        <f t="shared" si="1"/>
        <v>10552.800000000001</v>
      </c>
      <c r="C17" s="22">
        <f>C18+C19</f>
        <v>10056.800000000001</v>
      </c>
      <c r="D17" s="22">
        <f>D18+D19</f>
        <v>496</v>
      </c>
      <c r="E17" s="22"/>
      <c r="F17" s="17">
        <f t="shared" si="2"/>
        <v>9160.9</v>
      </c>
      <c r="G17" s="23">
        <f t="shared" ref="G17:H17" si="11">G18+G19</f>
        <v>8664.9</v>
      </c>
      <c r="H17" s="23">
        <f t="shared" si="11"/>
        <v>496</v>
      </c>
      <c r="I17" s="23"/>
      <c r="J17" s="18">
        <f t="shared" si="3"/>
        <v>-1391.9000000000015</v>
      </c>
      <c r="K17" s="18">
        <f t="shared" si="4"/>
        <v>-1391.9000000000015</v>
      </c>
      <c r="L17" s="18">
        <f>H17-D17</f>
        <v>0</v>
      </c>
      <c r="M17" s="18"/>
      <c r="N17" s="18">
        <f>F17/B17*100</f>
        <v>86.810135698582357</v>
      </c>
      <c r="O17" s="18">
        <f t="shared" ref="O17:P32" si="12">G17/C17*100</f>
        <v>86.159613395911222</v>
      </c>
      <c r="P17" s="18">
        <f t="shared" si="12"/>
        <v>100</v>
      </c>
      <c r="Q17" s="18"/>
    </row>
    <row r="18" spans="1:17" ht="12" customHeight="1" x14ac:dyDescent="0.25">
      <c r="A18" s="14" t="s">
        <v>1</v>
      </c>
      <c r="B18" s="15">
        <f t="shared" si="1"/>
        <v>10552.800000000001</v>
      </c>
      <c r="C18" s="22">
        <f>C20</f>
        <v>10056.800000000001</v>
      </c>
      <c r="D18" s="22">
        <f>D20</f>
        <v>496</v>
      </c>
      <c r="E18" s="22"/>
      <c r="F18" s="17">
        <f t="shared" si="2"/>
        <v>9160.9</v>
      </c>
      <c r="G18" s="23">
        <f t="shared" ref="G18:H18" si="13">G20</f>
        <v>8664.9</v>
      </c>
      <c r="H18" s="23">
        <f t="shared" si="13"/>
        <v>496</v>
      </c>
      <c r="I18" s="23"/>
      <c r="J18" s="18">
        <f t="shared" si="3"/>
        <v>-1391.9000000000015</v>
      </c>
      <c r="K18" s="18">
        <f t="shared" si="4"/>
        <v>-1391.9000000000015</v>
      </c>
      <c r="L18" s="18">
        <f>H18-D18</f>
        <v>0</v>
      </c>
      <c r="M18" s="18"/>
      <c r="N18" s="18">
        <f>F18/B18*100</f>
        <v>86.810135698582357</v>
      </c>
      <c r="O18" s="18">
        <f t="shared" si="12"/>
        <v>86.159613395911222</v>
      </c>
      <c r="P18" s="18">
        <f t="shared" si="12"/>
        <v>100</v>
      </c>
      <c r="Q18" s="18"/>
    </row>
    <row r="19" spans="1:17" ht="16.5" customHeight="1" x14ac:dyDescent="0.25">
      <c r="A19" s="14" t="s">
        <v>0</v>
      </c>
      <c r="B19" s="15"/>
      <c r="C19" s="22"/>
      <c r="D19" s="22"/>
      <c r="E19" s="20"/>
      <c r="F19" s="17"/>
      <c r="G19" s="21"/>
      <c r="H19" s="21"/>
      <c r="I19" s="21"/>
      <c r="J19" s="18"/>
      <c r="K19" s="18"/>
      <c r="L19" s="18"/>
      <c r="M19" s="18"/>
      <c r="N19" s="18"/>
      <c r="O19" s="18"/>
      <c r="P19" s="18"/>
      <c r="Q19" s="18"/>
    </row>
    <row r="20" spans="1:17" ht="16.5" customHeight="1" x14ac:dyDescent="0.25">
      <c r="A20" s="24" t="s">
        <v>33</v>
      </c>
      <c r="B20" s="15">
        <f t="shared" si="1"/>
        <v>10552.800000000001</v>
      </c>
      <c r="C20" s="20">
        <f>1265.4+1458.7+1179.9+1077.7+1111.3+1534.5+1074.8+354.5+1000</f>
        <v>10056.800000000001</v>
      </c>
      <c r="D20" s="20">
        <f>96+400</f>
        <v>496</v>
      </c>
      <c r="E20" s="20"/>
      <c r="F20" s="25">
        <f t="shared" si="2"/>
        <v>9160.9</v>
      </c>
      <c r="G20" s="21">
        <v>8664.9</v>
      </c>
      <c r="H20" s="21">
        <v>496</v>
      </c>
      <c r="I20" s="21"/>
      <c r="J20" s="18">
        <f t="shared" si="3"/>
        <v>-1391.9000000000015</v>
      </c>
      <c r="K20" s="18">
        <f t="shared" si="4"/>
        <v>-1391.9000000000015</v>
      </c>
      <c r="L20" s="18">
        <f>H20-D20</f>
        <v>0</v>
      </c>
      <c r="M20" s="18"/>
      <c r="N20" s="18">
        <f t="shared" ref="N20:N82" si="14">F20/B20*100</f>
        <v>86.810135698582357</v>
      </c>
      <c r="O20" s="18">
        <f>G20/C20*100</f>
        <v>86.159613395911222</v>
      </c>
      <c r="P20" s="18">
        <f t="shared" si="12"/>
        <v>100</v>
      </c>
      <c r="Q20" s="18"/>
    </row>
    <row r="21" spans="1:17" ht="17.25" customHeight="1" x14ac:dyDescent="0.25">
      <c r="A21" s="24"/>
      <c r="B21" s="15"/>
      <c r="C21" s="20"/>
      <c r="D21" s="20"/>
      <c r="E21" s="20"/>
      <c r="F21" s="17"/>
      <c r="G21" s="21"/>
      <c r="H21" s="21"/>
      <c r="I21" s="21"/>
      <c r="J21" s="18"/>
      <c r="K21" s="18"/>
      <c r="L21" s="18"/>
      <c r="M21" s="18"/>
      <c r="N21" s="18"/>
      <c r="O21" s="18"/>
      <c r="P21" s="18"/>
      <c r="Q21" s="18"/>
    </row>
    <row r="22" spans="1:17" x14ac:dyDescent="0.25">
      <c r="A22" s="14" t="s">
        <v>34</v>
      </c>
      <c r="B22" s="15">
        <f t="shared" si="1"/>
        <v>18884.099999999999</v>
      </c>
      <c r="C22" s="22">
        <f>C23+C24</f>
        <v>11412.1</v>
      </c>
      <c r="D22" s="22">
        <f>D23+D24</f>
        <v>7472</v>
      </c>
      <c r="E22" s="22"/>
      <c r="F22" s="17">
        <f t="shared" si="2"/>
        <v>12358.9</v>
      </c>
      <c r="G22" s="23">
        <f t="shared" ref="G22:H22" si="15">G23+G24</f>
        <v>5174.8999999999996</v>
      </c>
      <c r="H22" s="23">
        <f t="shared" si="15"/>
        <v>7184</v>
      </c>
      <c r="I22" s="23"/>
      <c r="J22" s="18">
        <f t="shared" si="3"/>
        <v>-6525.1999999999989</v>
      </c>
      <c r="K22" s="18">
        <f t="shared" si="4"/>
        <v>-6237.2000000000007</v>
      </c>
      <c r="L22" s="18">
        <f>H22-D22</f>
        <v>-288</v>
      </c>
      <c r="M22" s="18"/>
      <c r="N22" s="18">
        <f t="shared" si="14"/>
        <v>65.446063090112844</v>
      </c>
      <c r="O22" s="18">
        <f t="shared" ref="O22:P84" si="16">G22/C22*100</f>
        <v>45.345729532688985</v>
      </c>
      <c r="P22" s="18">
        <f t="shared" si="12"/>
        <v>96.145610278372601</v>
      </c>
      <c r="Q22" s="18"/>
    </row>
    <row r="23" spans="1:17" x14ac:dyDescent="0.25">
      <c r="A23" s="14" t="s">
        <v>1</v>
      </c>
      <c r="B23" s="15">
        <f t="shared" si="1"/>
        <v>17027</v>
      </c>
      <c r="C23" s="22">
        <f>C25</f>
        <v>9555</v>
      </c>
      <c r="D23" s="22">
        <f>D25</f>
        <v>7472</v>
      </c>
      <c r="E23" s="22"/>
      <c r="F23" s="17">
        <f t="shared" si="2"/>
        <v>11145.7</v>
      </c>
      <c r="G23" s="23">
        <f t="shared" ref="G23:H23" si="17">G25</f>
        <v>3961.7</v>
      </c>
      <c r="H23" s="23">
        <f t="shared" si="17"/>
        <v>7184</v>
      </c>
      <c r="I23" s="23"/>
      <c r="J23" s="18">
        <f t="shared" si="3"/>
        <v>-5881.2999999999993</v>
      </c>
      <c r="K23" s="18">
        <f t="shared" si="4"/>
        <v>-5593.3</v>
      </c>
      <c r="L23" s="18">
        <f t="shared" si="5"/>
        <v>-288</v>
      </c>
      <c r="M23" s="18"/>
      <c r="N23" s="18">
        <f t="shared" si="14"/>
        <v>65.458976919010993</v>
      </c>
      <c r="O23" s="18">
        <f t="shared" si="16"/>
        <v>41.462061747776033</v>
      </c>
      <c r="P23" s="18">
        <f t="shared" si="12"/>
        <v>96.145610278372601</v>
      </c>
      <c r="Q23" s="18"/>
    </row>
    <row r="24" spans="1:17" x14ac:dyDescent="0.25">
      <c r="A24" s="14" t="s">
        <v>0</v>
      </c>
      <c r="B24" s="15">
        <f t="shared" si="1"/>
        <v>1857.1</v>
      </c>
      <c r="C24" s="22">
        <f>C26+C27</f>
        <v>1857.1</v>
      </c>
      <c r="D24" s="22"/>
      <c r="E24" s="22"/>
      <c r="F24" s="17">
        <f t="shared" si="2"/>
        <v>1213.2</v>
      </c>
      <c r="G24" s="23">
        <f>G26+G27</f>
        <v>1213.2</v>
      </c>
      <c r="H24" s="23"/>
      <c r="I24" s="23"/>
      <c r="J24" s="18">
        <f t="shared" si="3"/>
        <v>-643.89999999999986</v>
      </c>
      <c r="K24" s="18">
        <f t="shared" si="4"/>
        <v>-643.89999999999986</v>
      </c>
      <c r="L24" s="18"/>
      <c r="M24" s="18"/>
      <c r="N24" s="18">
        <f t="shared" si="14"/>
        <v>65.327661407570943</v>
      </c>
      <c r="O24" s="18">
        <f t="shared" si="16"/>
        <v>65.327661407570943</v>
      </c>
      <c r="P24" s="18"/>
      <c r="Q24" s="18"/>
    </row>
    <row r="25" spans="1:17" x14ac:dyDescent="0.25">
      <c r="A25" s="24" t="s">
        <v>33</v>
      </c>
      <c r="B25" s="15">
        <f t="shared" si="1"/>
        <v>17027</v>
      </c>
      <c r="C25" s="20">
        <f>9555</f>
        <v>9555</v>
      </c>
      <c r="D25" s="20">
        <f>2960+4512</f>
        <v>7472</v>
      </c>
      <c r="E25" s="20"/>
      <c r="F25" s="17">
        <f t="shared" si="2"/>
        <v>11145.7</v>
      </c>
      <c r="G25" s="21">
        <v>3961.7</v>
      </c>
      <c r="H25" s="21">
        <v>7184</v>
      </c>
      <c r="I25" s="21"/>
      <c r="J25" s="18">
        <f t="shared" si="3"/>
        <v>-5881.2999999999993</v>
      </c>
      <c r="K25" s="18">
        <f t="shared" si="4"/>
        <v>-5593.3</v>
      </c>
      <c r="L25" s="18">
        <f t="shared" si="5"/>
        <v>-288</v>
      </c>
      <c r="M25" s="18"/>
      <c r="N25" s="18">
        <f t="shared" si="14"/>
        <v>65.458976919010993</v>
      </c>
      <c r="O25" s="18">
        <f t="shared" si="16"/>
        <v>41.462061747776033</v>
      </c>
      <c r="P25" s="18">
        <f t="shared" si="12"/>
        <v>96.145610278372601</v>
      </c>
      <c r="Q25" s="18"/>
    </row>
    <row r="26" spans="1:17" x14ac:dyDescent="0.25">
      <c r="A26" s="24" t="s">
        <v>35</v>
      </c>
      <c r="B26" s="15">
        <f t="shared" si="1"/>
        <v>114.1</v>
      </c>
      <c r="C26" s="20">
        <f>114.1</f>
        <v>114.1</v>
      </c>
      <c r="D26" s="20"/>
      <c r="E26" s="20"/>
      <c r="F26" s="17">
        <f t="shared" si="2"/>
        <v>55</v>
      </c>
      <c r="G26" s="21">
        <v>55</v>
      </c>
      <c r="H26" s="21"/>
      <c r="I26" s="21"/>
      <c r="J26" s="18">
        <f t="shared" si="3"/>
        <v>-59.099999999999994</v>
      </c>
      <c r="K26" s="18">
        <f t="shared" si="4"/>
        <v>-59.099999999999994</v>
      </c>
      <c r="L26" s="18"/>
      <c r="M26" s="18"/>
      <c r="N26" s="18">
        <f t="shared" si="14"/>
        <v>48.203330411919367</v>
      </c>
      <c r="O26" s="18">
        <f t="shared" si="16"/>
        <v>48.203330411919367</v>
      </c>
      <c r="P26" s="18"/>
      <c r="Q26" s="18"/>
    </row>
    <row r="27" spans="1:17" x14ac:dyDescent="0.25">
      <c r="A27" s="24" t="s">
        <v>36</v>
      </c>
      <c r="B27" s="15">
        <f t="shared" si="1"/>
        <v>1743</v>
      </c>
      <c r="C27" s="20">
        <f>954.2+788.8</f>
        <v>1743</v>
      </c>
      <c r="D27" s="20"/>
      <c r="E27" s="20"/>
      <c r="F27" s="17">
        <f t="shared" si="2"/>
        <v>1158.2</v>
      </c>
      <c r="G27" s="21">
        <v>1158.2</v>
      </c>
      <c r="H27" s="21"/>
      <c r="I27" s="21"/>
      <c r="J27" s="18">
        <f t="shared" si="3"/>
        <v>-584.79999999999995</v>
      </c>
      <c r="K27" s="18">
        <f t="shared" si="4"/>
        <v>-584.79999999999995</v>
      </c>
      <c r="L27" s="18"/>
      <c r="M27" s="18"/>
      <c r="N27" s="18">
        <f t="shared" si="14"/>
        <v>66.448651749856566</v>
      </c>
      <c r="O27" s="18">
        <f t="shared" si="16"/>
        <v>66.448651749856566</v>
      </c>
      <c r="P27" s="18"/>
      <c r="Q27" s="18"/>
    </row>
    <row r="28" spans="1:17" x14ac:dyDescent="0.25">
      <c r="A28" s="24"/>
      <c r="B28" s="15"/>
      <c r="C28" s="20"/>
      <c r="D28" s="20"/>
      <c r="E28" s="20"/>
      <c r="F28" s="17"/>
      <c r="G28" s="21"/>
      <c r="H28" s="21"/>
      <c r="I28" s="21"/>
      <c r="J28" s="18"/>
      <c r="K28" s="18"/>
      <c r="L28" s="18"/>
      <c r="M28" s="18"/>
      <c r="N28" s="18"/>
      <c r="O28" s="18"/>
      <c r="P28" s="18"/>
      <c r="Q28" s="18"/>
    </row>
    <row r="29" spans="1:17" x14ac:dyDescent="0.25">
      <c r="A29" s="14" t="s">
        <v>37</v>
      </c>
      <c r="B29" s="15">
        <f t="shared" si="1"/>
        <v>2105.5</v>
      </c>
      <c r="C29" s="22">
        <f>C30+C31</f>
        <v>1593.5</v>
      </c>
      <c r="D29" s="22">
        <f>D30+D31</f>
        <v>512</v>
      </c>
      <c r="E29" s="22"/>
      <c r="F29" s="17">
        <f t="shared" si="2"/>
        <v>1811.5</v>
      </c>
      <c r="G29" s="23">
        <f t="shared" ref="G29:H29" si="18">G30+G31</f>
        <v>1299.5</v>
      </c>
      <c r="H29" s="23">
        <f t="shared" si="18"/>
        <v>512</v>
      </c>
      <c r="I29" s="23"/>
      <c r="J29" s="18">
        <f t="shared" si="3"/>
        <v>-294</v>
      </c>
      <c r="K29" s="18">
        <f t="shared" si="4"/>
        <v>-294</v>
      </c>
      <c r="L29" s="18">
        <f>H29-D29</f>
        <v>0</v>
      </c>
      <c r="M29" s="18"/>
      <c r="N29" s="18">
        <f t="shared" si="14"/>
        <v>86.036570885775348</v>
      </c>
      <c r="O29" s="18">
        <f t="shared" si="16"/>
        <v>81.55004706620646</v>
      </c>
      <c r="P29" s="18">
        <f t="shared" si="12"/>
        <v>100</v>
      </c>
      <c r="Q29" s="18"/>
    </row>
    <row r="30" spans="1:17" x14ac:dyDescent="0.25">
      <c r="A30" s="14" t="s">
        <v>1</v>
      </c>
      <c r="B30" s="15">
        <f t="shared" si="1"/>
        <v>1811.8999999999999</v>
      </c>
      <c r="C30" s="22">
        <f>C32</f>
        <v>1299.8999999999999</v>
      </c>
      <c r="D30" s="22">
        <f>D32</f>
        <v>512</v>
      </c>
      <c r="E30" s="22"/>
      <c r="F30" s="17">
        <f t="shared" si="2"/>
        <v>1642.7</v>
      </c>
      <c r="G30" s="23">
        <f t="shared" ref="G30:H30" si="19">G32</f>
        <v>1130.7</v>
      </c>
      <c r="H30" s="23">
        <f t="shared" si="19"/>
        <v>512</v>
      </c>
      <c r="I30" s="23"/>
      <c r="J30" s="18">
        <f t="shared" si="3"/>
        <v>-169.19999999999982</v>
      </c>
      <c r="K30" s="18">
        <f t="shared" si="4"/>
        <v>-169.19999999999982</v>
      </c>
      <c r="L30" s="18">
        <f t="shared" si="5"/>
        <v>0</v>
      </c>
      <c r="M30" s="18"/>
      <c r="N30" s="18">
        <f t="shared" si="14"/>
        <v>90.661736298912757</v>
      </c>
      <c r="O30" s="18">
        <f t="shared" si="16"/>
        <v>86.98361412416341</v>
      </c>
      <c r="P30" s="18">
        <f t="shared" si="12"/>
        <v>100</v>
      </c>
      <c r="Q30" s="18"/>
    </row>
    <row r="31" spans="1:17" x14ac:dyDescent="0.25">
      <c r="A31" s="14" t="s">
        <v>0</v>
      </c>
      <c r="B31" s="15">
        <f t="shared" si="1"/>
        <v>293.60000000000002</v>
      </c>
      <c r="C31" s="22">
        <f>C33</f>
        <v>293.60000000000002</v>
      </c>
      <c r="D31" s="22"/>
      <c r="E31" s="22"/>
      <c r="F31" s="17">
        <f t="shared" si="2"/>
        <v>168.8</v>
      </c>
      <c r="G31" s="23">
        <f>G33</f>
        <v>168.8</v>
      </c>
      <c r="H31" s="23"/>
      <c r="I31" s="23"/>
      <c r="J31" s="18">
        <f t="shared" si="3"/>
        <v>-124.80000000000001</v>
      </c>
      <c r="K31" s="18">
        <f t="shared" si="4"/>
        <v>-124.80000000000001</v>
      </c>
      <c r="L31" s="18"/>
      <c r="M31" s="18"/>
      <c r="N31" s="18">
        <f t="shared" si="14"/>
        <v>57.493188010899175</v>
      </c>
      <c r="O31" s="18">
        <f t="shared" si="16"/>
        <v>57.493188010899175</v>
      </c>
      <c r="P31" s="18"/>
      <c r="Q31" s="18"/>
    </row>
    <row r="32" spans="1:17" x14ac:dyDescent="0.25">
      <c r="A32" s="24" t="s">
        <v>38</v>
      </c>
      <c r="B32" s="15">
        <f t="shared" si="1"/>
        <v>1811.8999999999999</v>
      </c>
      <c r="C32" s="20">
        <f>195.5+211.8+95.8+126.3+124.1+179.3+113.1+122.3+131.7</f>
        <v>1299.8999999999999</v>
      </c>
      <c r="D32" s="20">
        <f>48+464</f>
        <v>512</v>
      </c>
      <c r="E32" s="20"/>
      <c r="F32" s="17">
        <f t="shared" si="2"/>
        <v>1642.7</v>
      </c>
      <c r="G32" s="21">
        <v>1130.7</v>
      </c>
      <c r="H32" s="21">
        <v>512</v>
      </c>
      <c r="I32" s="21"/>
      <c r="J32" s="18">
        <f t="shared" si="3"/>
        <v>-169.19999999999982</v>
      </c>
      <c r="K32" s="18">
        <f t="shared" si="4"/>
        <v>-169.19999999999982</v>
      </c>
      <c r="L32" s="18">
        <f>H32-D32</f>
        <v>0</v>
      </c>
      <c r="M32" s="18"/>
      <c r="N32" s="18">
        <f t="shared" si="14"/>
        <v>90.661736298912757</v>
      </c>
      <c r="O32" s="18">
        <f t="shared" si="16"/>
        <v>86.98361412416341</v>
      </c>
      <c r="P32" s="18">
        <f t="shared" si="12"/>
        <v>100</v>
      </c>
      <c r="Q32" s="18"/>
    </row>
    <row r="33" spans="1:17" x14ac:dyDescent="0.25">
      <c r="A33" s="24" t="s">
        <v>37</v>
      </c>
      <c r="B33" s="15">
        <f t="shared" si="1"/>
        <v>293.60000000000002</v>
      </c>
      <c r="C33" s="20">
        <f>149.6+30.3+37.9+37.9+37.9</f>
        <v>293.60000000000002</v>
      </c>
      <c r="D33" s="20"/>
      <c r="E33" s="20"/>
      <c r="F33" s="17">
        <f t="shared" si="2"/>
        <v>168.8</v>
      </c>
      <c r="G33" s="21">
        <v>168.8</v>
      </c>
      <c r="H33" s="21"/>
      <c r="I33" s="21"/>
      <c r="J33" s="18">
        <f t="shared" si="3"/>
        <v>-124.80000000000001</v>
      </c>
      <c r="K33" s="18">
        <f t="shared" si="4"/>
        <v>-124.80000000000001</v>
      </c>
      <c r="L33" s="18"/>
      <c r="M33" s="18"/>
      <c r="N33" s="18">
        <f t="shared" si="14"/>
        <v>57.493188010899175</v>
      </c>
      <c r="O33" s="18">
        <f t="shared" si="16"/>
        <v>57.493188010899175</v>
      </c>
      <c r="P33" s="18"/>
      <c r="Q33" s="18"/>
    </row>
    <row r="34" spans="1:17" x14ac:dyDescent="0.25">
      <c r="A34" s="24"/>
      <c r="B34" s="15"/>
      <c r="C34" s="20"/>
      <c r="D34" s="20"/>
      <c r="E34" s="20"/>
      <c r="F34" s="17"/>
      <c r="G34" s="21"/>
      <c r="H34" s="21"/>
      <c r="I34" s="21"/>
      <c r="J34" s="18"/>
      <c r="K34" s="18"/>
      <c r="L34" s="18"/>
      <c r="M34" s="18"/>
      <c r="N34" s="18"/>
      <c r="O34" s="18"/>
      <c r="P34" s="18"/>
      <c r="Q34" s="18"/>
    </row>
    <row r="35" spans="1:17" x14ac:dyDescent="0.25">
      <c r="A35" s="14" t="s">
        <v>39</v>
      </c>
      <c r="B35" s="15">
        <f t="shared" ref="B35:B49" si="20">SUM(C35:E35)</f>
        <v>885.49999999999989</v>
      </c>
      <c r="C35" s="22">
        <f>C36+C37</f>
        <v>549.49999999999989</v>
      </c>
      <c r="D35" s="22">
        <f>D36+D37</f>
        <v>336</v>
      </c>
      <c r="E35" s="22"/>
      <c r="F35" s="17">
        <f t="shared" ref="F35:F49" si="21">SUM(G35:I35)</f>
        <v>631.4</v>
      </c>
      <c r="G35" s="23">
        <f t="shared" ref="G35:H35" si="22">G36+G37</f>
        <v>295.39999999999998</v>
      </c>
      <c r="H35" s="23">
        <f t="shared" si="22"/>
        <v>336</v>
      </c>
      <c r="I35" s="23"/>
      <c r="J35" s="18">
        <f t="shared" si="3"/>
        <v>-254.09999999999991</v>
      </c>
      <c r="K35" s="18">
        <f t="shared" si="4"/>
        <v>-254.09999999999991</v>
      </c>
      <c r="L35" s="18">
        <f>H35-D35</f>
        <v>0</v>
      </c>
      <c r="M35" s="18"/>
      <c r="N35" s="18">
        <f t="shared" si="14"/>
        <v>71.304347826086968</v>
      </c>
      <c r="O35" s="18">
        <f t="shared" si="16"/>
        <v>53.757961783439498</v>
      </c>
      <c r="P35" s="18">
        <f t="shared" si="16"/>
        <v>100</v>
      </c>
      <c r="Q35" s="18"/>
    </row>
    <row r="36" spans="1:17" x14ac:dyDescent="0.25">
      <c r="A36" s="14" t="s">
        <v>1</v>
      </c>
      <c r="B36" s="15">
        <f t="shared" si="20"/>
        <v>885.49999999999989</v>
      </c>
      <c r="C36" s="22">
        <f>C38</f>
        <v>549.49999999999989</v>
      </c>
      <c r="D36" s="22">
        <f>D38</f>
        <v>336</v>
      </c>
      <c r="E36" s="22"/>
      <c r="F36" s="17">
        <f t="shared" si="21"/>
        <v>631.4</v>
      </c>
      <c r="G36" s="23">
        <f t="shared" ref="G36:H36" si="23">G38</f>
        <v>295.39999999999998</v>
      </c>
      <c r="H36" s="23">
        <f t="shared" si="23"/>
        <v>336</v>
      </c>
      <c r="I36" s="23"/>
      <c r="J36" s="18">
        <f t="shared" si="3"/>
        <v>-254.09999999999991</v>
      </c>
      <c r="K36" s="18">
        <f t="shared" si="4"/>
        <v>-254.09999999999991</v>
      </c>
      <c r="L36" s="18">
        <f>H36-D36</f>
        <v>0</v>
      </c>
      <c r="M36" s="18"/>
      <c r="N36" s="18">
        <f t="shared" si="14"/>
        <v>71.304347826086968</v>
      </c>
      <c r="O36" s="18">
        <f t="shared" si="16"/>
        <v>53.757961783439498</v>
      </c>
      <c r="P36" s="18">
        <f t="shared" si="16"/>
        <v>100</v>
      </c>
      <c r="Q36" s="18"/>
    </row>
    <row r="37" spans="1:17" x14ac:dyDescent="0.25">
      <c r="A37" s="14" t="s">
        <v>0</v>
      </c>
      <c r="B37" s="15"/>
      <c r="C37" s="22"/>
      <c r="D37" s="22"/>
      <c r="E37" s="20"/>
      <c r="F37" s="17"/>
      <c r="G37" s="21"/>
      <c r="H37" s="21"/>
      <c r="I37" s="21"/>
      <c r="J37" s="18"/>
      <c r="K37" s="18"/>
      <c r="L37" s="18"/>
      <c r="M37" s="18"/>
      <c r="N37" s="18"/>
      <c r="O37" s="18"/>
      <c r="P37" s="18"/>
      <c r="Q37" s="18"/>
    </row>
    <row r="38" spans="1:17" x14ac:dyDescent="0.25">
      <c r="A38" s="24" t="s">
        <v>38</v>
      </c>
      <c r="B38" s="15">
        <f t="shared" si="20"/>
        <v>885.49999999999989</v>
      </c>
      <c r="C38" s="20">
        <f>233.9+184+36.9+31.9+31.9+30.9</f>
        <v>549.49999999999989</v>
      </c>
      <c r="D38" s="20">
        <f>48+288</f>
        <v>336</v>
      </c>
      <c r="E38" s="20"/>
      <c r="F38" s="17">
        <f t="shared" si="21"/>
        <v>631.4</v>
      </c>
      <c r="G38" s="21">
        <v>295.39999999999998</v>
      </c>
      <c r="H38" s="21">
        <v>336</v>
      </c>
      <c r="I38" s="21"/>
      <c r="J38" s="18">
        <f t="shared" si="3"/>
        <v>-254.09999999999991</v>
      </c>
      <c r="K38" s="18">
        <f t="shared" si="4"/>
        <v>-254.09999999999991</v>
      </c>
      <c r="L38" s="18">
        <f>H38-D38</f>
        <v>0</v>
      </c>
      <c r="M38" s="18"/>
      <c r="N38" s="18">
        <f t="shared" si="14"/>
        <v>71.304347826086968</v>
      </c>
      <c r="O38" s="18">
        <f t="shared" si="16"/>
        <v>53.757961783439498</v>
      </c>
      <c r="P38" s="18">
        <f t="shared" si="16"/>
        <v>100</v>
      </c>
      <c r="Q38" s="18"/>
    </row>
    <row r="39" spans="1:17" x14ac:dyDescent="0.25">
      <c r="A39" s="24"/>
      <c r="B39" s="15"/>
      <c r="C39" s="20"/>
      <c r="D39" s="20"/>
      <c r="E39" s="20"/>
      <c r="F39" s="17"/>
      <c r="G39" s="21"/>
      <c r="H39" s="21"/>
      <c r="I39" s="21"/>
      <c r="J39" s="18"/>
      <c r="K39" s="18"/>
      <c r="L39" s="18"/>
      <c r="M39" s="18"/>
      <c r="N39" s="18"/>
      <c r="O39" s="18"/>
      <c r="P39" s="18"/>
      <c r="Q39" s="18"/>
    </row>
    <row r="40" spans="1:17" x14ac:dyDescent="0.25">
      <c r="A40" s="14" t="s">
        <v>40</v>
      </c>
      <c r="B40" s="15">
        <f t="shared" si="20"/>
        <v>1187.5</v>
      </c>
      <c r="C40" s="22">
        <f>C41+C42</f>
        <v>483.5</v>
      </c>
      <c r="D40" s="22">
        <f>D41+D42</f>
        <v>704</v>
      </c>
      <c r="E40" s="22"/>
      <c r="F40" s="17">
        <f t="shared" si="21"/>
        <v>882.7</v>
      </c>
      <c r="G40" s="23">
        <f t="shared" ref="G40:H40" si="24">G41+G42</f>
        <v>178.7</v>
      </c>
      <c r="H40" s="23">
        <f t="shared" si="24"/>
        <v>704</v>
      </c>
      <c r="I40" s="23"/>
      <c r="J40" s="18">
        <f t="shared" si="3"/>
        <v>-304.79999999999995</v>
      </c>
      <c r="K40" s="18">
        <f t="shared" si="4"/>
        <v>-304.8</v>
      </c>
      <c r="L40" s="18">
        <f>H40-D40</f>
        <v>0</v>
      </c>
      <c r="M40" s="18"/>
      <c r="N40" s="18">
        <f t="shared" si="14"/>
        <v>74.332631578947371</v>
      </c>
      <c r="O40" s="18">
        <f t="shared" si="16"/>
        <v>36.959669079627709</v>
      </c>
      <c r="P40" s="18">
        <f t="shared" si="16"/>
        <v>100</v>
      </c>
      <c r="Q40" s="18"/>
    </row>
    <row r="41" spans="1:17" x14ac:dyDescent="0.25">
      <c r="A41" s="14" t="s">
        <v>1</v>
      </c>
      <c r="B41" s="15">
        <f t="shared" si="20"/>
        <v>1187.5</v>
      </c>
      <c r="C41" s="22">
        <f>C43</f>
        <v>483.5</v>
      </c>
      <c r="D41" s="22">
        <f>D43</f>
        <v>704</v>
      </c>
      <c r="E41" s="22"/>
      <c r="F41" s="17">
        <f t="shared" si="21"/>
        <v>882.7</v>
      </c>
      <c r="G41" s="23">
        <f t="shared" ref="G41:H41" si="25">G43</f>
        <v>178.7</v>
      </c>
      <c r="H41" s="23">
        <f t="shared" si="25"/>
        <v>704</v>
      </c>
      <c r="I41" s="23"/>
      <c r="J41" s="18">
        <f t="shared" si="3"/>
        <v>-304.79999999999995</v>
      </c>
      <c r="K41" s="18">
        <f t="shared" si="4"/>
        <v>-304.8</v>
      </c>
      <c r="L41" s="18">
        <f>H41-D41</f>
        <v>0</v>
      </c>
      <c r="M41" s="18"/>
      <c r="N41" s="18">
        <f t="shared" si="14"/>
        <v>74.332631578947371</v>
      </c>
      <c r="O41" s="18">
        <f t="shared" si="16"/>
        <v>36.959669079627709</v>
      </c>
      <c r="P41" s="18">
        <f t="shared" si="16"/>
        <v>100</v>
      </c>
      <c r="Q41" s="18"/>
    </row>
    <row r="42" spans="1:17" x14ac:dyDescent="0.25">
      <c r="A42" s="14" t="s">
        <v>0</v>
      </c>
      <c r="B42" s="15"/>
      <c r="C42" s="22"/>
      <c r="D42" s="22"/>
      <c r="E42" s="20"/>
      <c r="F42" s="17"/>
      <c r="G42" s="21"/>
      <c r="H42" s="21"/>
      <c r="I42" s="21"/>
      <c r="J42" s="18"/>
      <c r="K42" s="18"/>
      <c r="L42" s="18"/>
      <c r="M42" s="18"/>
      <c r="N42" s="18"/>
      <c r="O42" s="18"/>
      <c r="P42" s="18"/>
      <c r="Q42" s="18"/>
    </row>
    <row r="43" spans="1:17" x14ac:dyDescent="0.25">
      <c r="A43" s="24" t="s">
        <v>38</v>
      </c>
      <c r="B43" s="15">
        <f t="shared" si="20"/>
        <v>1187.5</v>
      </c>
      <c r="C43" s="20">
        <f>264.7+174.3+44.5</f>
        <v>483.5</v>
      </c>
      <c r="D43" s="20">
        <v>704</v>
      </c>
      <c r="E43" s="20"/>
      <c r="F43" s="17">
        <f t="shared" si="21"/>
        <v>882.7</v>
      </c>
      <c r="G43" s="21">
        <v>178.7</v>
      </c>
      <c r="H43" s="21">
        <v>704</v>
      </c>
      <c r="I43" s="21"/>
      <c r="J43" s="18">
        <f t="shared" si="3"/>
        <v>-304.79999999999995</v>
      </c>
      <c r="K43" s="18">
        <f t="shared" si="4"/>
        <v>-304.8</v>
      </c>
      <c r="L43" s="18">
        <f>H43-D43</f>
        <v>0</v>
      </c>
      <c r="M43" s="18"/>
      <c r="N43" s="18">
        <f t="shared" si="14"/>
        <v>74.332631578947371</v>
      </c>
      <c r="O43" s="18">
        <f t="shared" si="16"/>
        <v>36.959669079627709</v>
      </c>
      <c r="P43" s="18">
        <f t="shared" si="16"/>
        <v>100</v>
      </c>
      <c r="Q43" s="18"/>
    </row>
    <row r="44" spans="1:17" x14ac:dyDescent="0.25">
      <c r="A44" s="24"/>
      <c r="B44" s="15"/>
      <c r="C44" s="20"/>
      <c r="D44" s="20"/>
      <c r="E44" s="20"/>
      <c r="F44" s="17"/>
      <c r="G44" s="21"/>
      <c r="H44" s="21"/>
      <c r="I44" s="21"/>
      <c r="J44" s="18"/>
      <c r="K44" s="18"/>
      <c r="L44" s="18"/>
      <c r="M44" s="18"/>
      <c r="N44" s="18"/>
      <c r="O44" s="18"/>
      <c r="P44" s="18"/>
      <c r="Q44" s="18"/>
    </row>
    <row r="45" spans="1:17" x14ac:dyDescent="0.25">
      <c r="A45" s="14" t="s">
        <v>41</v>
      </c>
      <c r="B45" s="15">
        <f t="shared" si="20"/>
        <v>5737.5</v>
      </c>
      <c r="C45" s="22">
        <f>C46+C47</f>
        <v>4041.4999999999995</v>
      </c>
      <c r="D45" s="22">
        <f>D46+D47</f>
        <v>1696</v>
      </c>
      <c r="E45" s="22"/>
      <c r="F45" s="17">
        <f t="shared" si="21"/>
        <v>5538</v>
      </c>
      <c r="G45" s="23">
        <f t="shared" ref="G45:H45" si="26">G46+G47</f>
        <v>3842</v>
      </c>
      <c r="H45" s="23">
        <f t="shared" si="26"/>
        <v>1696</v>
      </c>
      <c r="I45" s="23"/>
      <c r="J45" s="18">
        <f t="shared" si="3"/>
        <v>-199.5</v>
      </c>
      <c r="K45" s="18">
        <f t="shared" si="4"/>
        <v>-199.49999999999955</v>
      </c>
      <c r="L45" s="18">
        <f>H45-D45</f>
        <v>0</v>
      </c>
      <c r="M45" s="18"/>
      <c r="N45" s="18">
        <f t="shared" si="14"/>
        <v>96.522875816993462</v>
      </c>
      <c r="O45" s="18">
        <f t="shared" si="16"/>
        <v>95.06371396758631</v>
      </c>
      <c r="P45" s="18">
        <f t="shared" si="16"/>
        <v>100</v>
      </c>
      <c r="Q45" s="18"/>
    </row>
    <row r="46" spans="1:17" x14ac:dyDescent="0.25">
      <c r="A46" s="14" t="s">
        <v>1</v>
      </c>
      <c r="B46" s="15">
        <f t="shared" si="20"/>
        <v>5396.4</v>
      </c>
      <c r="C46" s="22">
        <f>C48</f>
        <v>3700.3999999999996</v>
      </c>
      <c r="D46" s="22">
        <f>D48</f>
        <v>1696</v>
      </c>
      <c r="E46" s="22"/>
      <c r="F46" s="17">
        <f t="shared" si="21"/>
        <v>5248.6</v>
      </c>
      <c r="G46" s="23">
        <f t="shared" ref="G46:H46" si="27">G48</f>
        <v>3552.6</v>
      </c>
      <c r="H46" s="23">
        <f t="shared" si="27"/>
        <v>1696</v>
      </c>
      <c r="I46" s="23"/>
      <c r="J46" s="18">
        <f t="shared" si="3"/>
        <v>-147.79999999999927</v>
      </c>
      <c r="K46" s="18">
        <f t="shared" si="4"/>
        <v>-147.79999999999973</v>
      </c>
      <c r="L46" s="18">
        <f>H46-D46</f>
        <v>0</v>
      </c>
      <c r="M46" s="18"/>
      <c r="N46" s="18">
        <f t="shared" si="14"/>
        <v>97.261137054332536</v>
      </c>
      <c r="O46" s="18">
        <f t="shared" si="16"/>
        <v>96.005837206788456</v>
      </c>
      <c r="P46" s="18">
        <f t="shared" si="16"/>
        <v>100</v>
      </c>
      <c r="Q46" s="18"/>
    </row>
    <row r="47" spans="1:17" x14ac:dyDescent="0.25">
      <c r="A47" s="14" t="s">
        <v>0</v>
      </c>
      <c r="B47" s="15">
        <f t="shared" si="20"/>
        <v>341.09999999999997</v>
      </c>
      <c r="C47" s="22">
        <f>C49</f>
        <v>341.09999999999997</v>
      </c>
      <c r="D47" s="22"/>
      <c r="E47" s="22"/>
      <c r="F47" s="17">
        <f t="shared" si="21"/>
        <v>289.39999999999998</v>
      </c>
      <c r="G47" s="23">
        <f>G49</f>
        <v>289.39999999999998</v>
      </c>
      <c r="H47" s="23"/>
      <c r="I47" s="23"/>
      <c r="J47" s="18">
        <f t="shared" si="3"/>
        <v>-51.699999999999989</v>
      </c>
      <c r="K47" s="18">
        <f t="shared" si="4"/>
        <v>-51.699999999999989</v>
      </c>
      <c r="L47" s="18"/>
      <c r="M47" s="18"/>
      <c r="N47" s="18">
        <f t="shared" si="14"/>
        <v>84.843154500146596</v>
      </c>
      <c r="O47" s="18">
        <f t="shared" si="16"/>
        <v>84.843154500146596</v>
      </c>
      <c r="P47" s="18"/>
      <c r="Q47" s="18"/>
    </row>
    <row r="48" spans="1:17" x14ac:dyDescent="0.25">
      <c r="A48" s="24" t="s">
        <v>38</v>
      </c>
      <c r="B48" s="15">
        <f t="shared" si="20"/>
        <v>5396.4</v>
      </c>
      <c r="C48" s="20">
        <f>576.4+500+968.6+428.2+503.1+28+696.1</f>
        <v>3700.3999999999996</v>
      </c>
      <c r="D48" s="20">
        <f>144+1552</f>
        <v>1696</v>
      </c>
      <c r="E48" s="20"/>
      <c r="F48" s="17">
        <f t="shared" si="21"/>
        <v>5248.6</v>
      </c>
      <c r="G48" s="21">
        <v>3552.6</v>
      </c>
      <c r="H48" s="21">
        <v>1696</v>
      </c>
      <c r="I48" s="21"/>
      <c r="J48" s="18">
        <f t="shared" si="3"/>
        <v>-147.79999999999927</v>
      </c>
      <c r="K48" s="18">
        <f t="shared" si="4"/>
        <v>-147.79999999999973</v>
      </c>
      <c r="L48" s="18">
        <f>H48-D48</f>
        <v>0</v>
      </c>
      <c r="M48" s="18"/>
      <c r="N48" s="18">
        <f t="shared" si="14"/>
        <v>97.261137054332536</v>
      </c>
      <c r="O48" s="18">
        <f t="shared" si="16"/>
        <v>96.005837206788456</v>
      </c>
      <c r="P48" s="18">
        <f t="shared" si="16"/>
        <v>100</v>
      </c>
      <c r="Q48" s="18"/>
    </row>
    <row r="49" spans="1:17" x14ac:dyDescent="0.25">
      <c r="A49" s="24" t="s">
        <v>41</v>
      </c>
      <c r="B49" s="15">
        <f t="shared" si="20"/>
        <v>341.09999999999997</v>
      </c>
      <c r="C49" s="20">
        <f>134.2+112.6+31.9+11+51.4</f>
        <v>341.09999999999997</v>
      </c>
      <c r="D49" s="20"/>
      <c r="E49" s="20"/>
      <c r="F49" s="17">
        <f t="shared" si="21"/>
        <v>289.39999999999998</v>
      </c>
      <c r="G49" s="21">
        <v>289.39999999999998</v>
      </c>
      <c r="H49" s="21"/>
      <c r="I49" s="21"/>
      <c r="J49" s="18">
        <f t="shared" si="3"/>
        <v>-51.699999999999989</v>
      </c>
      <c r="K49" s="18">
        <f t="shared" si="4"/>
        <v>-51.699999999999989</v>
      </c>
      <c r="L49" s="18"/>
      <c r="M49" s="18"/>
      <c r="N49" s="18">
        <f t="shared" si="14"/>
        <v>84.843154500146596</v>
      </c>
      <c r="O49" s="18">
        <f t="shared" si="16"/>
        <v>84.843154500146596</v>
      </c>
      <c r="P49" s="18"/>
      <c r="Q49" s="18"/>
    </row>
    <row r="50" spans="1:17" x14ac:dyDescent="0.25">
      <c r="A50" s="24"/>
      <c r="B50" s="15"/>
      <c r="C50" s="20"/>
      <c r="D50" s="20"/>
      <c r="E50" s="20"/>
      <c r="F50" s="17"/>
      <c r="G50" s="21"/>
      <c r="H50" s="21"/>
      <c r="I50" s="21"/>
      <c r="J50" s="18"/>
      <c r="K50" s="18"/>
      <c r="L50" s="18"/>
      <c r="M50" s="18"/>
      <c r="N50" s="18"/>
      <c r="O50" s="18"/>
      <c r="P50" s="18"/>
      <c r="Q50" s="18"/>
    </row>
    <row r="51" spans="1:17" x14ac:dyDescent="0.25">
      <c r="A51" s="14" t="s">
        <v>42</v>
      </c>
      <c r="B51" s="15">
        <f t="shared" ref="B51:B59" si="28">SUM(C51:E51)</f>
        <v>176</v>
      </c>
      <c r="C51" s="22"/>
      <c r="D51" s="22">
        <f>D52+D53</f>
        <v>176</v>
      </c>
      <c r="E51" s="22"/>
      <c r="F51" s="17">
        <f t="shared" ref="F51:F59" si="29">SUM(G51:I51)</f>
        <v>176</v>
      </c>
      <c r="G51" s="23"/>
      <c r="H51" s="23">
        <f t="shared" ref="H51" si="30">H52+H53</f>
        <v>176</v>
      </c>
      <c r="I51" s="23"/>
      <c r="J51" s="18"/>
      <c r="K51" s="18"/>
      <c r="L51" s="18">
        <f>H51-D51</f>
        <v>0</v>
      </c>
      <c r="M51" s="18"/>
      <c r="N51" s="18">
        <f t="shared" si="14"/>
        <v>100</v>
      </c>
      <c r="O51" s="18"/>
      <c r="P51" s="18">
        <f t="shared" si="16"/>
        <v>100</v>
      </c>
      <c r="Q51" s="18"/>
    </row>
    <row r="52" spans="1:17" x14ac:dyDescent="0.25">
      <c r="A52" s="14" t="s">
        <v>1</v>
      </c>
      <c r="B52" s="15">
        <f t="shared" si="28"/>
        <v>176</v>
      </c>
      <c r="C52" s="22"/>
      <c r="D52" s="22">
        <f>D54</f>
        <v>176</v>
      </c>
      <c r="E52" s="22"/>
      <c r="F52" s="17">
        <f t="shared" si="29"/>
        <v>176</v>
      </c>
      <c r="G52" s="23"/>
      <c r="H52" s="23">
        <f t="shared" ref="H52" si="31">H54</f>
        <v>176</v>
      </c>
      <c r="I52" s="23"/>
      <c r="J52" s="18"/>
      <c r="K52" s="18"/>
      <c r="L52" s="18">
        <f>H52-D52</f>
        <v>0</v>
      </c>
      <c r="M52" s="18"/>
      <c r="N52" s="18">
        <f t="shared" si="14"/>
        <v>100</v>
      </c>
      <c r="O52" s="18"/>
      <c r="P52" s="18">
        <f t="shared" si="16"/>
        <v>100</v>
      </c>
      <c r="Q52" s="18"/>
    </row>
    <row r="53" spans="1:17" x14ac:dyDescent="0.25">
      <c r="A53" s="14" t="s">
        <v>0</v>
      </c>
      <c r="B53" s="15"/>
      <c r="C53" s="22"/>
      <c r="D53" s="22"/>
      <c r="E53" s="22"/>
      <c r="F53" s="17"/>
      <c r="G53" s="21"/>
      <c r="H53" s="21"/>
      <c r="I53" s="21"/>
      <c r="J53" s="18"/>
      <c r="K53" s="18"/>
      <c r="L53" s="18"/>
      <c r="M53" s="18"/>
      <c r="N53" s="18"/>
      <c r="O53" s="18"/>
      <c r="P53" s="18"/>
      <c r="Q53" s="18"/>
    </row>
    <row r="54" spans="1:17" x14ac:dyDescent="0.25">
      <c r="A54" s="24" t="s">
        <v>38</v>
      </c>
      <c r="B54" s="15">
        <f t="shared" si="28"/>
        <v>176</v>
      </c>
      <c r="C54" s="20"/>
      <c r="D54" s="20">
        <f>32+144</f>
        <v>176</v>
      </c>
      <c r="E54" s="20"/>
      <c r="F54" s="17">
        <f t="shared" si="29"/>
        <v>176</v>
      </c>
      <c r="G54" s="21"/>
      <c r="H54" s="21">
        <v>176</v>
      </c>
      <c r="I54" s="21"/>
      <c r="J54" s="18"/>
      <c r="K54" s="18"/>
      <c r="L54" s="18">
        <f>H54-D54</f>
        <v>0</v>
      </c>
      <c r="M54" s="18"/>
      <c r="N54" s="18">
        <f t="shared" si="14"/>
        <v>100</v>
      </c>
      <c r="O54" s="18"/>
      <c r="P54" s="18">
        <f t="shared" si="16"/>
        <v>100</v>
      </c>
      <c r="Q54" s="18"/>
    </row>
    <row r="55" spans="1:17" x14ac:dyDescent="0.25">
      <c r="A55" s="24"/>
      <c r="B55" s="15"/>
      <c r="C55" s="20"/>
      <c r="D55" s="20"/>
      <c r="E55" s="20"/>
      <c r="F55" s="17"/>
      <c r="G55" s="21"/>
      <c r="H55" s="21"/>
      <c r="I55" s="21"/>
      <c r="J55" s="18"/>
      <c r="K55" s="18"/>
      <c r="L55" s="18"/>
      <c r="M55" s="18"/>
      <c r="N55" s="18"/>
      <c r="O55" s="18"/>
      <c r="P55" s="18"/>
      <c r="Q55" s="18"/>
    </row>
    <row r="56" spans="1:17" x14ac:dyDescent="0.25">
      <c r="A56" s="14" t="s">
        <v>43</v>
      </c>
      <c r="B56" s="15">
        <f t="shared" si="28"/>
        <v>1412.7</v>
      </c>
      <c r="C56" s="22">
        <f>C57+C58</f>
        <v>964.7</v>
      </c>
      <c r="D56" s="22">
        <f>D57+D58</f>
        <v>448</v>
      </c>
      <c r="E56" s="22"/>
      <c r="F56" s="17">
        <f t="shared" si="29"/>
        <v>1178.4000000000001</v>
      </c>
      <c r="G56" s="23">
        <f t="shared" ref="G56:H56" si="32">G57+G58</f>
        <v>730.4</v>
      </c>
      <c r="H56" s="23">
        <f t="shared" si="32"/>
        <v>448</v>
      </c>
      <c r="I56" s="23"/>
      <c r="J56" s="18">
        <f t="shared" si="3"/>
        <v>-234.29999999999995</v>
      </c>
      <c r="K56" s="18">
        <f t="shared" si="4"/>
        <v>-234.30000000000007</v>
      </c>
      <c r="L56" s="18">
        <f>H56-D56</f>
        <v>0</v>
      </c>
      <c r="M56" s="18"/>
      <c r="N56" s="18">
        <f t="shared" si="14"/>
        <v>83.414737736249734</v>
      </c>
      <c r="O56" s="18">
        <f t="shared" si="16"/>
        <v>75.71265678449258</v>
      </c>
      <c r="P56" s="18">
        <f t="shared" si="16"/>
        <v>100</v>
      </c>
      <c r="Q56" s="18"/>
    </row>
    <row r="57" spans="1:17" x14ac:dyDescent="0.25">
      <c r="A57" s="14" t="s">
        <v>1</v>
      </c>
      <c r="B57" s="15">
        <f t="shared" si="28"/>
        <v>1412.7</v>
      </c>
      <c r="C57" s="22">
        <f>C59</f>
        <v>964.7</v>
      </c>
      <c r="D57" s="22">
        <f>D59</f>
        <v>448</v>
      </c>
      <c r="E57" s="22"/>
      <c r="F57" s="17">
        <f t="shared" si="29"/>
        <v>1178.4000000000001</v>
      </c>
      <c r="G57" s="23">
        <f t="shared" ref="G57:H57" si="33">G59</f>
        <v>730.4</v>
      </c>
      <c r="H57" s="23">
        <f t="shared" si="33"/>
        <v>448</v>
      </c>
      <c r="I57" s="23"/>
      <c r="J57" s="18">
        <f t="shared" si="3"/>
        <v>-234.29999999999995</v>
      </c>
      <c r="K57" s="18">
        <f t="shared" si="4"/>
        <v>-234.30000000000007</v>
      </c>
      <c r="L57" s="18">
        <f>H57-D57</f>
        <v>0</v>
      </c>
      <c r="M57" s="18"/>
      <c r="N57" s="18">
        <f t="shared" si="14"/>
        <v>83.414737736249734</v>
      </c>
      <c r="O57" s="18">
        <f t="shared" si="16"/>
        <v>75.71265678449258</v>
      </c>
      <c r="P57" s="18">
        <f t="shared" si="16"/>
        <v>100</v>
      </c>
      <c r="Q57" s="18"/>
    </row>
    <row r="58" spans="1:17" x14ac:dyDescent="0.25">
      <c r="A58" s="14" t="s">
        <v>0</v>
      </c>
      <c r="B58" s="15"/>
      <c r="C58" s="22"/>
      <c r="D58" s="22"/>
      <c r="E58" s="22"/>
      <c r="F58" s="17"/>
      <c r="G58" s="21"/>
      <c r="H58" s="21"/>
      <c r="I58" s="21"/>
      <c r="J58" s="18"/>
      <c r="K58" s="18"/>
      <c r="L58" s="18"/>
      <c r="M58" s="18"/>
      <c r="N58" s="18"/>
      <c r="O58" s="18"/>
      <c r="P58" s="18"/>
      <c r="Q58" s="18"/>
    </row>
    <row r="59" spans="1:17" x14ac:dyDescent="0.25">
      <c r="A59" s="24" t="s">
        <v>38</v>
      </c>
      <c r="B59" s="15">
        <f t="shared" si="28"/>
        <v>1412.7</v>
      </c>
      <c r="C59" s="20">
        <f>312.1+105.1+135.3+82.5+83+82.5+82.5+81.7</f>
        <v>964.7</v>
      </c>
      <c r="D59" s="20">
        <f>48+400</f>
        <v>448</v>
      </c>
      <c r="E59" s="20"/>
      <c r="F59" s="17">
        <f t="shared" si="29"/>
        <v>1178.4000000000001</v>
      </c>
      <c r="G59" s="21">
        <v>730.4</v>
      </c>
      <c r="H59" s="21">
        <v>448</v>
      </c>
      <c r="I59" s="21"/>
      <c r="J59" s="18">
        <f t="shared" si="3"/>
        <v>-234.29999999999995</v>
      </c>
      <c r="K59" s="18">
        <f t="shared" si="4"/>
        <v>-234.30000000000007</v>
      </c>
      <c r="L59" s="18">
        <f>H59-D59</f>
        <v>0</v>
      </c>
      <c r="M59" s="18"/>
      <c r="N59" s="18">
        <f t="shared" si="14"/>
        <v>83.414737736249734</v>
      </c>
      <c r="O59" s="18">
        <f t="shared" si="16"/>
        <v>75.71265678449258</v>
      </c>
      <c r="P59" s="18">
        <f t="shared" si="16"/>
        <v>100</v>
      </c>
      <c r="Q59" s="18"/>
    </row>
    <row r="60" spans="1:17" x14ac:dyDescent="0.25">
      <c r="A60" s="24"/>
      <c r="B60" s="15"/>
      <c r="C60" s="20"/>
      <c r="D60" s="20"/>
      <c r="E60" s="20"/>
      <c r="F60" s="17"/>
      <c r="G60" s="21"/>
      <c r="H60" s="21"/>
      <c r="I60" s="21"/>
      <c r="J60" s="18"/>
      <c r="K60" s="18"/>
      <c r="L60" s="18"/>
      <c r="M60" s="18"/>
      <c r="N60" s="18"/>
      <c r="O60" s="18"/>
      <c r="P60" s="18"/>
      <c r="Q60" s="18"/>
    </row>
    <row r="61" spans="1:17" x14ac:dyDescent="0.25">
      <c r="A61" s="14" t="s">
        <v>44</v>
      </c>
      <c r="B61" s="15">
        <f t="shared" ref="B61:B69" si="34">SUM(C61:E61)</f>
        <v>370.1</v>
      </c>
      <c r="C61" s="22">
        <f>C62+C63</f>
        <v>98.1</v>
      </c>
      <c r="D61" s="22">
        <f>D62+D63</f>
        <v>272</v>
      </c>
      <c r="E61" s="22"/>
      <c r="F61" s="17">
        <f t="shared" ref="F61:F69" si="35">SUM(G61:I61)</f>
        <v>305.5</v>
      </c>
      <c r="G61" s="23">
        <f t="shared" ref="G61:H61" si="36">G62+G63</f>
        <v>33.5</v>
      </c>
      <c r="H61" s="23">
        <f t="shared" si="36"/>
        <v>272</v>
      </c>
      <c r="I61" s="23"/>
      <c r="J61" s="18">
        <f t="shared" si="3"/>
        <v>-64.600000000000023</v>
      </c>
      <c r="K61" s="18">
        <f t="shared" si="4"/>
        <v>-64.599999999999994</v>
      </c>
      <c r="L61" s="18">
        <f>H61-D61</f>
        <v>0</v>
      </c>
      <c r="M61" s="18"/>
      <c r="N61" s="18">
        <f t="shared" si="14"/>
        <v>82.545258038368004</v>
      </c>
      <c r="O61" s="18">
        <f t="shared" si="16"/>
        <v>34.14882772680938</v>
      </c>
      <c r="P61" s="18">
        <f t="shared" si="16"/>
        <v>100</v>
      </c>
      <c r="Q61" s="18"/>
    </row>
    <row r="62" spans="1:17" x14ac:dyDescent="0.25">
      <c r="A62" s="14" t="s">
        <v>1</v>
      </c>
      <c r="B62" s="15">
        <f t="shared" si="34"/>
        <v>370.1</v>
      </c>
      <c r="C62" s="22">
        <f>C64</f>
        <v>98.1</v>
      </c>
      <c r="D62" s="22">
        <f>D64</f>
        <v>272</v>
      </c>
      <c r="E62" s="22"/>
      <c r="F62" s="17">
        <f t="shared" si="35"/>
        <v>305.5</v>
      </c>
      <c r="G62" s="23">
        <f t="shared" ref="G62:H62" si="37">G64</f>
        <v>33.5</v>
      </c>
      <c r="H62" s="23">
        <f t="shared" si="37"/>
        <v>272</v>
      </c>
      <c r="I62" s="23"/>
      <c r="J62" s="18">
        <f t="shared" si="3"/>
        <v>-64.600000000000023</v>
      </c>
      <c r="K62" s="18">
        <f t="shared" si="4"/>
        <v>-64.599999999999994</v>
      </c>
      <c r="L62" s="18">
        <f>H62-D62</f>
        <v>0</v>
      </c>
      <c r="M62" s="18"/>
      <c r="N62" s="18">
        <f t="shared" si="14"/>
        <v>82.545258038368004</v>
      </c>
      <c r="O62" s="18">
        <f t="shared" si="16"/>
        <v>34.14882772680938</v>
      </c>
      <c r="P62" s="18">
        <f t="shared" si="16"/>
        <v>100</v>
      </c>
      <c r="Q62" s="18"/>
    </row>
    <row r="63" spans="1:17" x14ac:dyDescent="0.25">
      <c r="A63" s="14" t="s">
        <v>0</v>
      </c>
      <c r="B63" s="15"/>
      <c r="C63" s="22"/>
      <c r="D63" s="22"/>
      <c r="E63" s="22"/>
      <c r="F63" s="17"/>
      <c r="G63" s="21"/>
      <c r="H63" s="21"/>
      <c r="I63" s="21"/>
      <c r="J63" s="18"/>
      <c r="K63" s="18"/>
      <c r="L63" s="18"/>
      <c r="M63" s="18"/>
      <c r="N63" s="18"/>
      <c r="O63" s="18"/>
      <c r="P63" s="18"/>
      <c r="Q63" s="18"/>
    </row>
    <row r="64" spans="1:17" x14ac:dyDescent="0.25">
      <c r="A64" s="24" t="s">
        <v>38</v>
      </c>
      <c r="B64" s="15">
        <f t="shared" si="34"/>
        <v>370.1</v>
      </c>
      <c r="C64" s="20">
        <f>98.1</f>
        <v>98.1</v>
      </c>
      <c r="D64" s="20">
        <f>96+176</f>
        <v>272</v>
      </c>
      <c r="E64" s="20"/>
      <c r="F64" s="17">
        <f t="shared" si="35"/>
        <v>305.5</v>
      </c>
      <c r="G64" s="21">
        <v>33.5</v>
      </c>
      <c r="H64" s="21">
        <v>272</v>
      </c>
      <c r="I64" s="21"/>
      <c r="J64" s="18">
        <f t="shared" si="3"/>
        <v>-64.600000000000023</v>
      </c>
      <c r="K64" s="18">
        <f t="shared" si="4"/>
        <v>-64.599999999999994</v>
      </c>
      <c r="L64" s="18">
        <f>H64-D64</f>
        <v>0</v>
      </c>
      <c r="M64" s="18"/>
      <c r="N64" s="18">
        <f t="shared" si="14"/>
        <v>82.545258038368004</v>
      </c>
      <c r="O64" s="18">
        <f t="shared" si="16"/>
        <v>34.14882772680938</v>
      </c>
      <c r="P64" s="18">
        <f t="shared" si="16"/>
        <v>100</v>
      </c>
      <c r="Q64" s="18"/>
    </row>
    <row r="65" spans="1:17" x14ac:dyDescent="0.25">
      <c r="A65" s="24"/>
      <c r="B65" s="15"/>
      <c r="C65" s="20"/>
      <c r="D65" s="20"/>
      <c r="E65" s="20"/>
      <c r="F65" s="17"/>
      <c r="G65" s="21"/>
      <c r="H65" s="21"/>
      <c r="I65" s="21"/>
      <c r="J65" s="18"/>
      <c r="K65" s="18"/>
      <c r="L65" s="18"/>
      <c r="M65" s="18"/>
      <c r="N65" s="18"/>
      <c r="O65" s="18"/>
      <c r="P65" s="18"/>
      <c r="Q65" s="18"/>
    </row>
    <row r="66" spans="1:17" x14ac:dyDescent="0.25">
      <c r="A66" s="14" t="s">
        <v>46</v>
      </c>
      <c r="B66" s="15">
        <f t="shared" si="34"/>
        <v>934.5</v>
      </c>
      <c r="C66" s="22">
        <f>C67+C68</f>
        <v>614.5</v>
      </c>
      <c r="D66" s="22">
        <f>D67+D68</f>
        <v>320</v>
      </c>
      <c r="E66" s="22"/>
      <c r="F66" s="17">
        <f t="shared" si="35"/>
        <v>699</v>
      </c>
      <c r="G66" s="23">
        <f t="shared" ref="G66:H66" si="38">G67+G68</f>
        <v>379</v>
      </c>
      <c r="H66" s="23">
        <f t="shared" si="38"/>
        <v>320</v>
      </c>
      <c r="I66" s="23"/>
      <c r="J66" s="18">
        <f t="shared" si="3"/>
        <v>-235.5</v>
      </c>
      <c r="K66" s="18">
        <f t="shared" si="4"/>
        <v>-235.5</v>
      </c>
      <c r="L66" s="18">
        <f>H66-D66</f>
        <v>0</v>
      </c>
      <c r="M66" s="18"/>
      <c r="N66" s="18">
        <f t="shared" si="14"/>
        <v>74.799357945425356</v>
      </c>
      <c r="O66" s="18">
        <f t="shared" si="16"/>
        <v>61.676159479251425</v>
      </c>
      <c r="P66" s="18">
        <f t="shared" si="16"/>
        <v>100</v>
      </c>
      <c r="Q66" s="18"/>
    </row>
    <row r="67" spans="1:17" x14ac:dyDescent="0.25">
      <c r="A67" s="14" t="s">
        <v>1</v>
      </c>
      <c r="B67" s="15">
        <f t="shared" si="34"/>
        <v>934.5</v>
      </c>
      <c r="C67" s="22">
        <f>C69</f>
        <v>614.5</v>
      </c>
      <c r="D67" s="22">
        <f>D69</f>
        <v>320</v>
      </c>
      <c r="E67" s="22"/>
      <c r="F67" s="17">
        <f t="shared" si="35"/>
        <v>699</v>
      </c>
      <c r="G67" s="23">
        <f t="shared" ref="G67:H67" si="39">G69</f>
        <v>379</v>
      </c>
      <c r="H67" s="23">
        <f t="shared" si="39"/>
        <v>320</v>
      </c>
      <c r="I67" s="23"/>
      <c r="J67" s="18">
        <f t="shared" si="3"/>
        <v>-235.5</v>
      </c>
      <c r="K67" s="18">
        <f t="shared" si="4"/>
        <v>-235.5</v>
      </c>
      <c r="L67" s="18">
        <f>H67-D67</f>
        <v>0</v>
      </c>
      <c r="M67" s="18"/>
      <c r="N67" s="18">
        <f t="shared" si="14"/>
        <v>74.799357945425356</v>
      </c>
      <c r="O67" s="18">
        <f t="shared" si="16"/>
        <v>61.676159479251425</v>
      </c>
      <c r="P67" s="18">
        <f t="shared" si="16"/>
        <v>100</v>
      </c>
      <c r="Q67" s="18"/>
    </row>
    <row r="68" spans="1:17" x14ac:dyDescent="0.25">
      <c r="A68" s="14" t="s">
        <v>0</v>
      </c>
      <c r="B68" s="15"/>
      <c r="C68" s="22"/>
      <c r="D68" s="22"/>
      <c r="E68" s="22"/>
      <c r="F68" s="17"/>
      <c r="G68" s="21"/>
      <c r="H68" s="21"/>
      <c r="I68" s="21"/>
      <c r="J68" s="18"/>
      <c r="K68" s="18"/>
      <c r="L68" s="18"/>
      <c r="M68" s="18"/>
      <c r="N68" s="18"/>
      <c r="O68" s="18"/>
      <c r="P68" s="18"/>
      <c r="Q68" s="18"/>
    </row>
    <row r="69" spans="1:17" x14ac:dyDescent="0.25">
      <c r="A69" s="24" t="s">
        <v>38</v>
      </c>
      <c r="B69" s="15">
        <f t="shared" si="34"/>
        <v>934.5</v>
      </c>
      <c r="C69" s="20">
        <f>406+64.9+143.6</f>
        <v>614.5</v>
      </c>
      <c r="D69" s="20">
        <f>112+208</f>
        <v>320</v>
      </c>
      <c r="E69" s="20"/>
      <c r="F69" s="17">
        <f t="shared" si="35"/>
        <v>699</v>
      </c>
      <c r="G69" s="21">
        <v>379</v>
      </c>
      <c r="H69" s="21">
        <v>320</v>
      </c>
      <c r="I69" s="21"/>
      <c r="J69" s="18">
        <f t="shared" si="3"/>
        <v>-235.5</v>
      </c>
      <c r="K69" s="18">
        <f t="shared" si="4"/>
        <v>-235.5</v>
      </c>
      <c r="L69" s="18">
        <f>H69-D69</f>
        <v>0</v>
      </c>
      <c r="M69" s="18"/>
      <c r="N69" s="18">
        <f t="shared" si="14"/>
        <v>74.799357945425356</v>
      </c>
      <c r="O69" s="18">
        <f t="shared" si="16"/>
        <v>61.676159479251425</v>
      </c>
      <c r="P69" s="18">
        <f t="shared" si="16"/>
        <v>100</v>
      </c>
      <c r="Q69" s="18"/>
    </row>
    <row r="70" spans="1:17" x14ac:dyDescent="0.25">
      <c r="A70" s="24"/>
      <c r="B70" s="15"/>
      <c r="C70" s="20"/>
      <c r="D70" s="20"/>
      <c r="E70" s="20"/>
      <c r="F70" s="17"/>
      <c r="G70" s="21"/>
      <c r="H70" s="21"/>
      <c r="I70" s="21"/>
      <c r="J70" s="18"/>
      <c r="K70" s="18"/>
      <c r="L70" s="18"/>
      <c r="M70" s="18"/>
      <c r="N70" s="18"/>
      <c r="O70" s="18"/>
      <c r="P70" s="18"/>
      <c r="Q70" s="18"/>
    </row>
    <row r="71" spans="1:17" x14ac:dyDescent="0.25">
      <c r="A71" s="14" t="s">
        <v>47</v>
      </c>
      <c r="B71" s="15">
        <f t="shared" ref="B71:B79" si="40">SUM(C71:E71)</f>
        <v>2908</v>
      </c>
      <c r="C71" s="22">
        <f>C72+C73</f>
        <v>2284</v>
      </c>
      <c r="D71" s="22">
        <f>D72+D73</f>
        <v>624</v>
      </c>
      <c r="E71" s="22"/>
      <c r="F71" s="17">
        <f t="shared" ref="F71:F79" si="41">SUM(G71:I71)</f>
        <v>1992.7</v>
      </c>
      <c r="G71" s="23">
        <f t="shared" ref="G71:H71" si="42">G72+G73</f>
        <v>1368.7</v>
      </c>
      <c r="H71" s="23">
        <f t="shared" si="42"/>
        <v>624</v>
      </c>
      <c r="I71" s="23"/>
      <c r="J71" s="18">
        <f t="shared" si="3"/>
        <v>-915.3</v>
      </c>
      <c r="K71" s="18">
        <f t="shared" si="4"/>
        <v>-915.3</v>
      </c>
      <c r="L71" s="18">
        <f>H71-D71</f>
        <v>0</v>
      </c>
      <c r="M71" s="18"/>
      <c r="N71" s="18">
        <f t="shared" si="14"/>
        <v>68.524759284731772</v>
      </c>
      <c r="O71" s="18">
        <f t="shared" si="16"/>
        <v>59.925569176882668</v>
      </c>
      <c r="P71" s="18">
        <f t="shared" si="16"/>
        <v>100</v>
      </c>
      <c r="Q71" s="18"/>
    </row>
    <row r="72" spans="1:17" x14ac:dyDescent="0.25">
      <c r="A72" s="14" t="s">
        <v>1</v>
      </c>
      <c r="B72" s="15">
        <f t="shared" si="40"/>
        <v>2908</v>
      </c>
      <c r="C72" s="22">
        <f>C74</f>
        <v>2284</v>
      </c>
      <c r="D72" s="22">
        <f>D74</f>
        <v>624</v>
      </c>
      <c r="E72" s="22"/>
      <c r="F72" s="17">
        <f t="shared" si="41"/>
        <v>1992.7</v>
      </c>
      <c r="G72" s="23">
        <f t="shared" ref="G72:H72" si="43">G74</f>
        <v>1368.7</v>
      </c>
      <c r="H72" s="23">
        <f t="shared" si="43"/>
        <v>624</v>
      </c>
      <c r="I72" s="23"/>
      <c r="J72" s="18">
        <f t="shared" si="3"/>
        <v>-915.3</v>
      </c>
      <c r="K72" s="18">
        <f t="shared" si="4"/>
        <v>-915.3</v>
      </c>
      <c r="L72" s="18">
        <f>H72-D72</f>
        <v>0</v>
      </c>
      <c r="M72" s="18"/>
      <c r="N72" s="18">
        <f t="shared" si="14"/>
        <v>68.524759284731772</v>
      </c>
      <c r="O72" s="18">
        <f t="shared" si="16"/>
        <v>59.925569176882668</v>
      </c>
      <c r="P72" s="18">
        <f t="shared" si="16"/>
        <v>100</v>
      </c>
      <c r="Q72" s="18"/>
    </row>
    <row r="73" spans="1:17" x14ac:dyDescent="0.25">
      <c r="A73" s="14" t="s">
        <v>0</v>
      </c>
      <c r="B73" s="15"/>
      <c r="C73" s="22"/>
      <c r="D73" s="22"/>
      <c r="E73" s="22"/>
      <c r="F73" s="17"/>
      <c r="G73" s="21"/>
      <c r="H73" s="21"/>
      <c r="I73" s="21"/>
      <c r="J73" s="18"/>
      <c r="K73" s="18"/>
      <c r="L73" s="18"/>
      <c r="M73" s="18"/>
      <c r="N73" s="18"/>
      <c r="O73" s="18"/>
      <c r="P73" s="18"/>
      <c r="Q73" s="18"/>
    </row>
    <row r="74" spans="1:17" x14ac:dyDescent="0.25">
      <c r="A74" s="24" t="s">
        <v>38</v>
      </c>
      <c r="B74" s="15">
        <f>SUM(C74:E74)</f>
        <v>2908</v>
      </c>
      <c r="C74" s="20">
        <f>796.5+280.3+1207.2</f>
        <v>2284</v>
      </c>
      <c r="D74" s="20">
        <f>192+432</f>
        <v>624</v>
      </c>
      <c r="E74" s="20"/>
      <c r="F74" s="17">
        <f t="shared" si="41"/>
        <v>1992.7</v>
      </c>
      <c r="G74" s="21">
        <v>1368.7</v>
      </c>
      <c r="H74" s="21">
        <v>624</v>
      </c>
      <c r="I74" s="21"/>
      <c r="J74" s="18">
        <f t="shared" si="3"/>
        <v>-915.3</v>
      </c>
      <c r="K74" s="18">
        <f t="shared" si="4"/>
        <v>-915.3</v>
      </c>
      <c r="L74" s="18">
        <f>H74-D74</f>
        <v>0</v>
      </c>
      <c r="M74" s="18"/>
      <c r="N74" s="18">
        <f t="shared" si="14"/>
        <v>68.524759284731772</v>
      </c>
      <c r="O74" s="18">
        <f t="shared" si="16"/>
        <v>59.925569176882668</v>
      </c>
      <c r="P74" s="18">
        <f t="shared" si="16"/>
        <v>100</v>
      </c>
      <c r="Q74" s="18"/>
    </row>
    <row r="75" spans="1:17" x14ac:dyDescent="0.25">
      <c r="A75" s="24"/>
      <c r="B75" s="15"/>
      <c r="C75" s="20"/>
      <c r="D75" s="20"/>
      <c r="E75" s="20"/>
      <c r="F75" s="17"/>
      <c r="G75" s="21"/>
      <c r="H75" s="21"/>
      <c r="I75" s="21"/>
      <c r="J75" s="18"/>
      <c r="K75" s="18"/>
      <c r="L75" s="18"/>
      <c r="M75" s="18"/>
      <c r="N75" s="18"/>
      <c r="O75" s="18"/>
      <c r="P75" s="18"/>
      <c r="Q75" s="18"/>
    </row>
    <row r="76" spans="1:17" x14ac:dyDescent="0.25">
      <c r="A76" s="14" t="s">
        <v>48</v>
      </c>
      <c r="B76" s="15">
        <f t="shared" si="40"/>
        <v>1600</v>
      </c>
      <c r="C76" s="22">
        <f>C77+C78</f>
        <v>1168</v>
      </c>
      <c r="D76" s="22">
        <f>D77+D78</f>
        <v>432</v>
      </c>
      <c r="E76" s="22"/>
      <c r="F76" s="17">
        <f t="shared" si="41"/>
        <v>1526.6</v>
      </c>
      <c r="G76" s="23">
        <f t="shared" ref="G76:H76" si="44">G77+G78</f>
        <v>1094.5999999999999</v>
      </c>
      <c r="H76" s="23">
        <f t="shared" si="44"/>
        <v>432</v>
      </c>
      <c r="I76" s="23"/>
      <c r="J76" s="18">
        <f t="shared" si="3"/>
        <v>-73.400000000000091</v>
      </c>
      <c r="K76" s="18">
        <f t="shared" si="4"/>
        <v>-73.400000000000091</v>
      </c>
      <c r="L76" s="18">
        <f>H76-D76</f>
        <v>0</v>
      </c>
      <c r="M76" s="18"/>
      <c r="N76" s="18">
        <f t="shared" si="14"/>
        <v>95.412499999999994</v>
      </c>
      <c r="O76" s="18">
        <f t="shared" si="16"/>
        <v>93.715753424657521</v>
      </c>
      <c r="P76" s="18">
        <f t="shared" si="16"/>
        <v>100</v>
      </c>
      <c r="Q76" s="18"/>
    </row>
    <row r="77" spans="1:17" x14ac:dyDescent="0.25">
      <c r="A77" s="14" t="s">
        <v>1</v>
      </c>
      <c r="B77" s="15">
        <f t="shared" si="40"/>
        <v>1600</v>
      </c>
      <c r="C77" s="22">
        <f>C79</f>
        <v>1168</v>
      </c>
      <c r="D77" s="22">
        <f>D79</f>
        <v>432</v>
      </c>
      <c r="E77" s="22"/>
      <c r="F77" s="17">
        <f t="shared" si="41"/>
        <v>1526.6</v>
      </c>
      <c r="G77" s="23">
        <f t="shared" ref="G77:H77" si="45">G79</f>
        <v>1094.5999999999999</v>
      </c>
      <c r="H77" s="23">
        <f t="shared" si="45"/>
        <v>432</v>
      </c>
      <c r="I77" s="23"/>
      <c r="J77" s="18">
        <f t="shared" si="3"/>
        <v>-73.400000000000091</v>
      </c>
      <c r="K77" s="18">
        <f t="shared" si="4"/>
        <v>-73.400000000000091</v>
      </c>
      <c r="L77" s="18">
        <f>H77-D77</f>
        <v>0</v>
      </c>
      <c r="M77" s="18"/>
      <c r="N77" s="18">
        <f t="shared" si="14"/>
        <v>95.412499999999994</v>
      </c>
      <c r="O77" s="18">
        <f t="shared" si="16"/>
        <v>93.715753424657521</v>
      </c>
      <c r="P77" s="18">
        <f t="shared" si="16"/>
        <v>100</v>
      </c>
      <c r="Q77" s="18"/>
    </row>
    <row r="78" spans="1:17" x14ac:dyDescent="0.25">
      <c r="A78" s="14" t="s">
        <v>0</v>
      </c>
      <c r="B78" s="15"/>
      <c r="C78" s="22"/>
      <c r="D78" s="22"/>
      <c r="E78" s="22"/>
      <c r="F78" s="17"/>
      <c r="G78" s="21"/>
      <c r="H78" s="21"/>
      <c r="I78" s="21"/>
      <c r="J78" s="18"/>
      <c r="K78" s="18"/>
      <c r="L78" s="18"/>
      <c r="M78" s="18"/>
      <c r="N78" s="18"/>
      <c r="O78" s="18"/>
      <c r="P78" s="18"/>
      <c r="Q78" s="18"/>
    </row>
    <row r="79" spans="1:17" x14ac:dyDescent="0.25">
      <c r="A79" s="24" t="s">
        <v>38</v>
      </c>
      <c r="B79" s="15">
        <f t="shared" si="40"/>
        <v>1600</v>
      </c>
      <c r="C79" s="20">
        <f>258.2+157.6+123.9+57.1+99.2+76.7+174+102+119.3</f>
        <v>1168</v>
      </c>
      <c r="D79" s="20">
        <f>80+352</f>
        <v>432</v>
      </c>
      <c r="E79" s="20"/>
      <c r="F79" s="17">
        <f t="shared" si="41"/>
        <v>1526.6</v>
      </c>
      <c r="G79" s="21">
        <v>1094.5999999999999</v>
      </c>
      <c r="H79" s="21">
        <v>432</v>
      </c>
      <c r="I79" s="21"/>
      <c r="J79" s="18">
        <f t="shared" ref="J79:J141" si="46">F79-B79</f>
        <v>-73.400000000000091</v>
      </c>
      <c r="K79" s="18">
        <f t="shared" ref="K79:M141" si="47">G79-C79</f>
        <v>-73.400000000000091</v>
      </c>
      <c r="L79" s="18">
        <f>H79-D79</f>
        <v>0</v>
      </c>
      <c r="M79" s="18"/>
      <c r="N79" s="18">
        <f t="shared" si="14"/>
        <v>95.412499999999994</v>
      </c>
      <c r="O79" s="18">
        <f t="shared" si="16"/>
        <v>93.715753424657521</v>
      </c>
      <c r="P79" s="18">
        <f t="shared" si="16"/>
        <v>100</v>
      </c>
      <c r="Q79" s="18"/>
    </row>
    <row r="80" spans="1:17" x14ac:dyDescent="0.25">
      <c r="A80" s="24"/>
      <c r="B80" s="15"/>
      <c r="C80" s="20"/>
      <c r="D80" s="20"/>
      <c r="E80" s="20"/>
      <c r="F80" s="17"/>
      <c r="G80" s="21"/>
      <c r="H80" s="21"/>
      <c r="I80" s="21"/>
      <c r="J80" s="18"/>
      <c r="K80" s="18"/>
      <c r="L80" s="18"/>
      <c r="M80" s="18"/>
      <c r="N80" s="18"/>
      <c r="O80" s="18"/>
      <c r="P80" s="18"/>
      <c r="Q80" s="18"/>
    </row>
    <row r="81" spans="1:17" x14ac:dyDescent="0.25">
      <c r="A81" s="14" t="s">
        <v>50</v>
      </c>
      <c r="B81" s="15">
        <f t="shared" ref="B81:B93" si="48">SUM(C81:E81)</f>
        <v>1198.2</v>
      </c>
      <c r="C81" s="22">
        <f>C82+C83</f>
        <v>702.2</v>
      </c>
      <c r="D81" s="22">
        <f>D82+D83</f>
        <v>496</v>
      </c>
      <c r="E81" s="22"/>
      <c r="F81" s="17">
        <f t="shared" ref="F81:F93" si="49">SUM(G81:I81)</f>
        <v>1069.4000000000001</v>
      </c>
      <c r="G81" s="23">
        <f t="shared" ref="G81:H81" si="50">G82+G83</f>
        <v>573.4</v>
      </c>
      <c r="H81" s="23">
        <f t="shared" si="50"/>
        <v>496</v>
      </c>
      <c r="I81" s="23"/>
      <c r="J81" s="18">
        <f t="shared" si="46"/>
        <v>-128.79999999999995</v>
      </c>
      <c r="K81" s="18">
        <f t="shared" si="47"/>
        <v>-128.80000000000007</v>
      </c>
      <c r="L81" s="18">
        <f>H81-D81</f>
        <v>0</v>
      </c>
      <c r="M81" s="18"/>
      <c r="N81" s="18">
        <f t="shared" si="14"/>
        <v>89.250542480387253</v>
      </c>
      <c r="O81" s="18">
        <f t="shared" si="16"/>
        <v>81.657647393904867</v>
      </c>
      <c r="P81" s="18">
        <f t="shared" si="16"/>
        <v>100</v>
      </c>
      <c r="Q81" s="18"/>
    </row>
    <row r="82" spans="1:17" x14ac:dyDescent="0.25">
      <c r="A82" s="14" t="s">
        <v>1</v>
      </c>
      <c r="B82" s="15">
        <f t="shared" si="48"/>
        <v>1098.2</v>
      </c>
      <c r="C82" s="22">
        <f>C84</f>
        <v>602.20000000000005</v>
      </c>
      <c r="D82" s="22">
        <f>D84</f>
        <v>496</v>
      </c>
      <c r="E82" s="22"/>
      <c r="F82" s="17">
        <f t="shared" si="49"/>
        <v>1069.4000000000001</v>
      </c>
      <c r="G82" s="23">
        <f t="shared" ref="G82:H82" si="51">G84</f>
        <v>573.4</v>
      </c>
      <c r="H82" s="23">
        <f t="shared" si="51"/>
        <v>496</v>
      </c>
      <c r="I82" s="23"/>
      <c r="J82" s="18">
        <f t="shared" si="46"/>
        <v>-28.799999999999955</v>
      </c>
      <c r="K82" s="18">
        <f t="shared" si="47"/>
        <v>-28.800000000000068</v>
      </c>
      <c r="L82" s="18">
        <f>H82-D82</f>
        <v>0</v>
      </c>
      <c r="M82" s="18"/>
      <c r="N82" s="18">
        <f t="shared" si="14"/>
        <v>97.377526862138055</v>
      </c>
      <c r="O82" s="18">
        <f t="shared" si="16"/>
        <v>95.217535702424428</v>
      </c>
      <c r="P82" s="18">
        <f t="shared" si="16"/>
        <v>100</v>
      </c>
      <c r="Q82" s="18"/>
    </row>
    <row r="83" spans="1:17" x14ac:dyDescent="0.25">
      <c r="A83" s="14" t="s">
        <v>0</v>
      </c>
      <c r="B83" s="15">
        <f t="shared" si="48"/>
        <v>100</v>
      </c>
      <c r="C83" s="22">
        <f>C85</f>
        <v>100</v>
      </c>
      <c r="D83" s="22"/>
      <c r="E83" s="22"/>
      <c r="F83" s="17">
        <f>SUM(G83:I83)</f>
        <v>0</v>
      </c>
      <c r="G83" s="21">
        <f>G85</f>
        <v>0</v>
      </c>
      <c r="H83" s="21"/>
      <c r="I83" s="21"/>
      <c r="J83" s="18">
        <f t="shared" si="46"/>
        <v>-100</v>
      </c>
      <c r="K83" s="18">
        <f t="shared" si="47"/>
        <v>-100</v>
      </c>
      <c r="L83" s="18"/>
      <c r="M83" s="18"/>
      <c r="N83" s="18">
        <f t="shared" ref="N83:N146" si="52">F83/B83*100</f>
        <v>0</v>
      </c>
      <c r="O83" s="18">
        <f t="shared" si="16"/>
        <v>0</v>
      </c>
      <c r="P83" s="18"/>
      <c r="Q83" s="18"/>
    </row>
    <row r="84" spans="1:17" x14ac:dyDescent="0.25">
      <c r="A84" s="24" t="s">
        <v>38</v>
      </c>
      <c r="B84" s="15">
        <f t="shared" si="48"/>
        <v>1098.2</v>
      </c>
      <c r="C84" s="20">
        <f>78+136.7+67.2+82.3+134.3+103.7</f>
        <v>602.20000000000005</v>
      </c>
      <c r="D84" s="20">
        <f>208+288</f>
        <v>496</v>
      </c>
      <c r="E84" s="20"/>
      <c r="F84" s="17">
        <f t="shared" si="49"/>
        <v>1069.4000000000001</v>
      </c>
      <c r="G84" s="21">
        <v>573.4</v>
      </c>
      <c r="H84" s="21">
        <v>496</v>
      </c>
      <c r="I84" s="21"/>
      <c r="J84" s="18">
        <f t="shared" si="46"/>
        <v>-28.799999999999955</v>
      </c>
      <c r="K84" s="18">
        <f t="shared" si="47"/>
        <v>-28.800000000000068</v>
      </c>
      <c r="L84" s="18">
        <f>H84-D84</f>
        <v>0</v>
      </c>
      <c r="M84" s="18"/>
      <c r="N84" s="18">
        <f t="shared" si="52"/>
        <v>97.377526862138055</v>
      </c>
      <c r="O84" s="18">
        <f t="shared" si="16"/>
        <v>95.217535702424428</v>
      </c>
      <c r="P84" s="18">
        <f t="shared" si="16"/>
        <v>100</v>
      </c>
      <c r="Q84" s="18"/>
    </row>
    <row r="85" spans="1:17" x14ac:dyDescent="0.25">
      <c r="A85" s="24" t="s">
        <v>51</v>
      </c>
      <c r="B85" s="15">
        <f t="shared" si="48"/>
        <v>100</v>
      </c>
      <c r="C85" s="20">
        <f>100</f>
        <v>100</v>
      </c>
      <c r="D85" s="20"/>
      <c r="E85" s="20"/>
      <c r="F85" s="17">
        <f t="shared" si="49"/>
        <v>0</v>
      </c>
      <c r="G85" s="21">
        <v>0</v>
      </c>
      <c r="H85" s="21"/>
      <c r="I85" s="21"/>
      <c r="J85" s="18">
        <f t="shared" si="46"/>
        <v>-100</v>
      </c>
      <c r="K85" s="18">
        <f t="shared" si="47"/>
        <v>-100</v>
      </c>
      <c r="L85" s="18"/>
      <c r="M85" s="18"/>
      <c r="N85" s="18">
        <f>F85/B85*100</f>
        <v>0</v>
      </c>
      <c r="O85" s="18">
        <f t="shared" ref="O85:Q148" si="53">G85/C85*100</f>
        <v>0</v>
      </c>
      <c r="P85" s="18"/>
      <c r="Q85" s="18"/>
    </row>
    <row r="86" spans="1:17" x14ac:dyDescent="0.25">
      <c r="A86" s="24"/>
      <c r="B86" s="15"/>
      <c r="C86" s="20"/>
      <c r="D86" s="20"/>
      <c r="E86" s="20"/>
      <c r="F86" s="17"/>
      <c r="G86" s="21"/>
      <c r="H86" s="21"/>
      <c r="I86" s="21"/>
      <c r="J86" s="18"/>
      <c r="K86" s="18"/>
      <c r="L86" s="18"/>
      <c r="M86" s="18"/>
      <c r="N86" s="18"/>
      <c r="O86" s="18"/>
      <c r="P86" s="18"/>
      <c r="Q86" s="18"/>
    </row>
    <row r="87" spans="1:17" x14ac:dyDescent="0.25">
      <c r="A87" s="14" t="s">
        <v>52</v>
      </c>
      <c r="B87" s="15">
        <f t="shared" si="48"/>
        <v>1642.1000000000001</v>
      </c>
      <c r="C87" s="22">
        <f>C88+C89</f>
        <v>1402.1000000000001</v>
      </c>
      <c r="D87" s="22">
        <f t="shared" ref="D87:H87" si="54">D88+D89</f>
        <v>240</v>
      </c>
      <c r="E87" s="22"/>
      <c r="F87" s="17">
        <f t="shared" si="49"/>
        <v>1558.9</v>
      </c>
      <c r="G87" s="23">
        <f t="shared" si="54"/>
        <v>1318.9</v>
      </c>
      <c r="H87" s="23">
        <f t="shared" si="54"/>
        <v>240</v>
      </c>
      <c r="I87" s="23"/>
      <c r="J87" s="18">
        <f t="shared" si="46"/>
        <v>-83.200000000000045</v>
      </c>
      <c r="K87" s="18">
        <f t="shared" si="47"/>
        <v>-83.200000000000045</v>
      </c>
      <c r="L87" s="18">
        <f>H87-D87</f>
        <v>0</v>
      </c>
      <c r="M87" s="18"/>
      <c r="N87" s="18">
        <f t="shared" si="52"/>
        <v>94.933317093965044</v>
      </c>
      <c r="O87" s="18">
        <f t="shared" si="53"/>
        <v>94.06604379145567</v>
      </c>
      <c r="P87" s="18">
        <f t="shared" si="53"/>
        <v>100</v>
      </c>
      <c r="Q87" s="18"/>
    </row>
    <row r="88" spans="1:17" x14ac:dyDescent="0.25">
      <c r="A88" s="14" t="s">
        <v>1</v>
      </c>
      <c r="B88" s="15">
        <f t="shared" si="48"/>
        <v>1642.1000000000001</v>
      </c>
      <c r="C88" s="22">
        <f>C90</f>
        <v>1402.1000000000001</v>
      </c>
      <c r="D88" s="22">
        <f t="shared" ref="D88:H88" si="55">D90</f>
        <v>240</v>
      </c>
      <c r="E88" s="22"/>
      <c r="F88" s="17">
        <f t="shared" si="49"/>
        <v>1558.9</v>
      </c>
      <c r="G88" s="23">
        <f t="shared" si="55"/>
        <v>1318.9</v>
      </c>
      <c r="H88" s="23">
        <f t="shared" si="55"/>
        <v>240</v>
      </c>
      <c r="I88" s="23"/>
      <c r="J88" s="18">
        <f t="shared" si="46"/>
        <v>-83.200000000000045</v>
      </c>
      <c r="K88" s="18">
        <f t="shared" si="47"/>
        <v>-83.200000000000045</v>
      </c>
      <c r="L88" s="18">
        <f>H88-D88</f>
        <v>0</v>
      </c>
      <c r="M88" s="18"/>
      <c r="N88" s="18">
        <f t="shared" si="52"/>
        <v>94.933317093965044</v>
      </c>
      <c r="O88" s="18">
        <f t="shared" si="53"/>
        <v>94.06604379145567</v>
      </c>
      <c r="P88" s="18">
        <f t="shared" si="53"/>
        <v>100</v>
      </c>
      <c r="Q88" s="18"/>
    </row>
    <row r="89" spans="1:17" x14ac:dyDescent="0.25">
      <c r="A89" s="14" t="s">
        <v>0</v>
      </c>
      <c r="B89" s="15"/>
      <c r="C89" s="22"/>
      <c r="D89" s="22"/>
      <c r="E89" s="22"/>
      <c r="F89" s="17"/>
      <c r="G89" s="21"/>
      <c r="H89" s="21"/>
      <c r="I89" s="21"/>
      <c r="J89" s="18"/>
      <c r="K89" s="18"/>
      <c r="L89" s="18"/>
      <c r="M89" s="18"/>
      <c r="N89" s="18"/>
      <c r="O89" s="18"/>
      <c r="P89" s="18"/>
      <c r="Q89" s="18"/>
    </row>
    <row r="90" spans="1:17" x14ac:dyDescent="0.25">
      <c r="A90" s="24" t="s">
        <v>38</v>
      </c>
      <c r="B90" s="15">
        <f t="shared" si="48"/>
        <v>1642.1000000000001</v>
      </c>
      <c r="C90" s="20">
        <f>619.5+32.1+633.8+116.7</f>
        <v>1402.1000000000001</v>
      </c>
      <c r="D90" s="20">
        <f>96+144</f>
        <v>240</v>
      </c>
      <c r="E90" s="20"/>
      <c r="F90" s="17">
        <f t="shared" si="49"/>
        <v>1558.9</v>
      </c>
      <c r="G90" s="21">
        <v>1318.9</v>
      </c>
      <c r="H90" s="21">
        <v>240</v>
      </c>
      <c r="I90" s="21"/>
      <c r="J90" s="18">
        <f t="shared" si="46"/>
        <v>-83.200000000000045</v>
      </c>
      <c r="K90" s="18">
        <f t="shared" si="47"/>
        <v>-83.200000000000045</v>
      </c>
      <c r="L90" s="18">
        <f>H90-D90</f>
        <v>0</v>
      </c>
      <c r="M90" s="18"/>
      <c r="N90" s="18">
        <f t="shared" si="52"/>
        <v>94.933317093965044</v>
      </c>
      <c r="O90" s="18">
        <f t="shared" si="53"/>
        <v>94.06604379145567</v>
      </c>
      <c r="P90" s="18">
        <f t="shared" si="53"/>
        <v>100</v>
      </c>
      <c r="Q90" s="18"/>
    </row>
    <row r="91" spans="1:17" x14ac:dyDescent="0.25">
      <c r="A91" s="24"/>
      <c r="B91" s="15"/>
      <c r="C91" s="20"/>
      <c r="D91" s="20"/>
      <c r="E91" s="20"/>
      <c r="F91" s="17"/>
      <c r="G91" s="21"/>
      <c r="H91" s="21"/>
      <c r="I91" s="21"/>
      <c r="J91" s="18"/>
      <c r="K91" s="18"/>
      <c r="L91" s="18"/>
      <c r="M91" s="18"/>
      <c r="N91" s="18"/>
      <c r="O91" s="18"/>
      <c r="P91" s="18"/>
      <c r="Q91" s="18"/>
    </row>
    <row r="92" spans="1:17" x14ac:dyDescent="0.25">
      <c r="A92" s="14" t="s">
        <v>53</v>
      </c>
      <c r="B92" s="15">
        <f t="shared" si="48"/>
        <v>6665.1</v>
      </c>
      <c r="C92" s="22">
        <f>C93+C94</f>
        <v>504.70000000000005</v>
      </c>
      <c r="D92" s="22">
        <f t="shared" ref="D92:I92" si="56">D93+D94</f>
        <v>1920</v>
      </c>
      <c r="E92" s="22">
        <f t="shared" si="56"/>
        <v>4240.4000000000005</v>
      </c>
      <c r="F92" s="17">
        <f t="shared" si="49"/>
        <v>6351.1</v>
      </c>
      <c r="G92" s="23">
        <f t="shared" si="56"/>
        <v>190.8</v>
      </c>
      <c r="H92" s="23">
        <f t="shared" si="56"/>
        <v>1920</v>
      </c>
      <c r="I92" s="23">
        <f t="shared" si="56"/>
        <v>4240.3</v>
      </c>
      <c r="J92" s="18">
        <f t="shared" si="46"/>
        <v>-314</v>
      </c>
      <c r="K92" s="18">
        <f t="shared" si="47"/>
        <v>-313.90000000000003</v>
      </c>
      <c r="L92" s="18">
        <f>H92-D92</f>
        <v>0</v>
      </c>
      <c r="M92" s="18">
        <f t="shared" si="47"/>
        <v>-0.1000000000003638</v>
      </c>
      <c r="N92" s="18">
        <f t="shared" si="52"/>
        <v>95.288892889829114</v>
      </c>
      <c r="O92" s="18">
        <f t="shared" si="53"/>
        <v>37.804636417673862</v>
      </c>
      <c r="P92" s="18">
        <f t="shared" si="53"/>
        <v>100</v>
      </c>
      <c r="Q92" s="18">
        <f t="shared" si="53"/>
        <v>99.997641731912083</v>
      </c>
    </row>
    <row r="93" spans="1:17" x14ac:dyDescent="0.25">
      <c r="A93" s="14" t="s">
        <v>1</v>
      </c>
      <c r="B93" s="15">
        <f t="shared" si="48"/>
        <v>2424.6999999999998</v>
      </c>
      <c r="C93" s="22">
        <f>C95</f>
        <v>504.70000000000005</v>
      </c>
      <c r="D93" s="22">
        <f t="shared" ref="D93:I93" si="57">D95</f>
        <v>1920</v>
      </c>
      <c r="E93" s="22">
        <f t="shared" si="57"/>
        <v>0</v>
      </c>
      <c r="F93" s="17">
        <f t="shared" si="49"/>
        <v>2110.8000000000002</v>
      </c>
      <c r="G93" s="23">
        <f t="shared" si="57"/>
        <v>190.8</v>
      </c>
      <c r="H93" s="23">
        <f t="shared" si="57"/>
        <v>1920</v>
      </c>
      <c r="I93" s="23">
        <f t="shared" si="57"/>
        <v>0</v>
      </c>
      <c r="J93" s="18">
        <f t="shared" si="46"/>
        <v>-313.89999999999964</v>
      </c>
      <c r="K93" s="18">
        <f t="shared" si="47"/>
        <v>-313.90000000000003</v>
      </c>
      <c r="L93" s="18">
        <f>H93-D93</f>
        <v>0</v>
      </c>
      <c r="M93" s="18"/>
      <c r="N93" s="18">
        <f t="shared" si="52"/>
        <v>87.054068544562227</v>
      </c>
      <c r="O93" s="18">
        <f t="shared" si="53"/>
        <v>37.804636417673862</v>
      </c>
      <c r="P93" s="18">
        <f t="shared" si="53"/>
        <v>100</v>
      </c>
      <c r="Q93" s="18"/>
    </row>
    <row r="94" spans="1:17" x14ac:dyDescent="0.25">
      <c r="A94" s="14" t="s">
        <v>0</v>
      </c>
      <c r="B94" s="15">
        <f t="shared" ref="B94:B104" si="58">SUM(C94:E94)</f>
        <v>4240.4000000000005</v>
      </c>
      <c r="C94" s="22"/>
      <c r="D94" s="22"/>
      <c r="E94" s="22">
        <f>E96+E97+E98+E99</f>
        <v>4240.4000000000005</v>
      </c>
      <c r="F94" s="17">
        <f>SUM(G94:I94)</f>
        <v>4240.3</v>
      </c>
      <c r="G94" s="23"/>
      <c r="H94" s="23"/>
      <c r="I94" s="23">
        <f>I96+I97+I98+I99</f>
        <v>4240.3</v>
      </c>
      <c r="J94" s="18">
        <f t="shared" si="46"/>
        <v>-0.1000000000003638</v>
      </c>
      <c r="K94" s="18"/>
      <c r="L94" s="18"/>
      <c r="M94" s="18">
        <f t="shared" si="47"/>
        <v>-0.1000000000003638</v>
      </c>
      <c r="N94" s="18">
        <f t="shared" si="52"/>
        <v>99.997641731912083</v>
      </c>
      <c r="O94" s="18"/>
      <c r="P94" s="18"/>
      <c r="Q94" s="18">
        <f t="shared" si="53"/>
        <v>99.997641731912083</v>
      </c>
    </row>
    <row r="95" spans="1:17" x14ac:dyDescent="0.25">
      <c r="A95" s="24" t="s">
        <v>38</v>
      </c>
      <c r="B95" s="15">
        <f t="shared" si="58"/>
        <v>2424.6999999999998</v>
      </c>
      <c r="C95" s="20">
        <f>429+30.8+31.1+1+12.8</f>
        <v>504.70000000000005</v>
      </c>
      <c r="D95" s="20">
        <f>752+1168</f>
        <v>1920</v>
      </c>
      <c r="E95" s="20"/>
      <c r="F95" s="17">
        <f t="shared" ref="F95:F104" si="59">SUM(G95:I95)</f>
        <v>2110.8000000000002</v>
      </c>
      <c r="G95" s="21">
        <v>190.8</v>
      </c>
      <c r="H95" s="21">
        <v>1920</v>
      </c>
      <c r="I95" s="21"/>
      <c r="J95" s="18">
        <f t="shared" si="46"/>
        <v>-313.89999999999964</v>
      </c>
      <c r="K95" s="18">
        <f t="shared" si="47"/>
        <v>-313.90000000000003</v>
      </c>
      <c r="L95" s="18">
        <f>H95-D95</f>
        <v>0</v>
      </c>
      <c r="M95" s="18"/>
      <c r="N95" s="18">
        <f t="shared" si="52"/>
        <v>87.054068544562227</v>
      </c>
      <c r="O95" s="18">
        <f t="shared" si="53"/>
        <v>37.804636417673862</v>
      </c>
      <c r="P95" s="18">
        <f t="shared" si="53"/>
        <v>100</v>
      </c>
      <c r="Q95" s="18"/>
    </row>
    <row r="96" spans="1:17" x14ac:dyDescent="0.25">
      <c r="A96" s="24" t="s">
        <v>54</v>
      </c>
      <c r="B96" s="15">
        <f t="shared" si="58"/>
        <v>2330.9</v>
      </c>
      <c r="C96" s="20"/>
      <c r="D96" s="20"/>
      <c r="E96" s="20">
        <v>2330.9</v>
      </c>
      <c r="F96" s="17">
        <f t="shared" si="59"/>
        <v>2330.9</v>
      </c>
      <c r="G96" s="21"/>
      <c r="H96" s="21"/>
      <c r="I96" s="21">
        <v>2330.9</v>
      </c>
      <c r="J96" s="18">
        <f>F96-B96</f>
        <v>0</v>
      </c>
      <c r="K96" s="18"/>
      <c r="L96" s="18"/>
      <c r="M96" s="18"/>
      <c r="N96" s="18">
        <f t="shared" si="52"/>
        <v>100</v>
      </c>
      <c r="O96" s="18"/>
      <c r="P96" s="18"/>
      <c r="Q96" s="18">
        <f t="shared" si="53"/>
        <v>100</v>
      </c>
    </row>
    <row r="97" spans="1:17" x14ac:dyDescent="0.25">
      <c r="A97" s="24" t="s">
        <v>55</v>
      </c>
      <c r="B97" s="15">
        <f t="shared" si="58"/>
        <v>348.3</v>
      </c>
      <c r="C97" s="20"/>
      <c r="D97" s="20"/>
      <c r="E97" s="20">
        <v>348.3</v>
      </c>
      <c r="F97" s="17">
        <f t="shared" si="59"/>
        <v>348.3</v>
      </c>
      <c r="G97" s="21"/>
      <c r="H97" s="21"/>
      <c r="I97" s="21">
        <v>348.3</v>
      </c>
      <c r="J97" s="18">
        <f t="shared" si="46"/>
        <v>0</v>
      </c>
      <c r="K97" s="18"/>
      <c r="L97" s="18"/>
      <c r="M97" s="18"/>
      <c r="N97" s="18">
        <f t="shared" si="52"/>
        <v>100</v>
      </c>
      <c r="O97" s="18"/>
      <c r="P97" s="18"/>
      <c r="Q97" s="18">
        <f t="shared" si="53"/>
        <v>100</v>
      </c>
    </row>
    <row r="98" spans="1:17" x14ac:dyDescent="0.25">
      <c r="A98" s="24" t="s">
        <v>49</v>
      </c>
      <c r="B98" s="15">
        <f t="shared" si="58"/>
        <v>89.3</v>
      </c>
      <c r="C98" s="20"/>
      <c r="D98" s="20"/>
      <c r="E98" s="20">
        <v>89.3</v>
      </c>
      <c r="F98" s="17">
        <f t="shared" si="59"/>
        <v>89.2</v>
      </c>
      <c r="G98" s="21"/>
      <c r="H98" s="21"/>
      <c r="I98" s="21">
        <v>89.2</v>
      </c>
      <c r="J98" s="18">
        <f t="shared" si="46"/>
        <v>-9.9999999999994316E-2</v>
      </c>
      <c r="K98" s="18"/>
      <c r="L98" s="18"/>
      <c r="M98" s="18">
        <f t="shared" si="47"/>
        <v>-9.9999999999994316E-2</v>
      </c>
      <c r="N98" s="18">
        <f t="shared" si="52"/>
        <v>99.888017917133268</v>
      </c>
      <c r="O98" s="18"/>
      <c r="P98" s="18"/>
      <c r="Q98" s="18">
        <f t="shared" si="53"/>
        <v>99.888017917133268</v>
      </c>
    </row>
    <row r="99" spans="1:17" x14ac:dyDescent="0.25">
      <c r="A99" s="24" t="s">
        <v>56</v>
      </c>
      <c r="B99" s="15">
        <f t="shared" si="58"/>
        <v>1471.9</v>
      </c>
      <c r="C99" s="20"/>
      <c r="D99" s="20"/>
      <c r="E99" s="20">
        <v>1471.9</v>
      </c>
      <c r="F99" s="17">
        <f t="shared" si="59"/>
        <v>1471.9</v>
      </c>
      <c r="G99" s="21"/>
      <c r="H99" s="21"/>
      <c r="I99" s="21">
        <v>1471.9</v>
      </c>
      <c r="J99" s="18">
        <f t="shared" si="46"/>
        <v>0</v>
      </c>
      <c r="K99" s="18"/>
      <c r="L99" s="18"/>
      <c r="M99" s="18"/>
      <c r="N99" s="18">
        <f t="shared" si="52"/>
        <v>100</v>
      </c>
      <c r="O99" s="18"/>
      <c r="P99" s="18"/>
      <c r="Q99" s="18">
        <f t="shared" si="53"/>
        <v>100</v>
      </c>
    </row>
    <row r="100" spans="1:17" x14ac:dyDescent="0.25">
      <c r="A100" s="24"/>
      <c r="B100" s="15"/>
      <c r="C100" s="20"/>
      <c r="D100" s="20"/>
      <c r="E100" s="20"/>
      <c r="F100" s="17"/>
      <c r="G100" s="21"/>
      <c r="H100" s="21"/>
      <c r="I100" s="21"/>
      <c r="J100" s="18"/>
      <c r="K100" s="18"/>
      <c r="L100" s="18"/>
      <c r="M100" s="18"/>
      <c r="N100" s="18"/>
      <c r="O100" s="18"/>
      <c r="P100" s="18"/>
      <c r="Q100" s="18"/>
    </row>
    <row r="101" spans="1:17" x14ac:dyDescent="0.25">
      <c r="A101" s="14" t="s">
        <v>57</v>
      </c>
      <c r="B101" s="15">
        <f t="shared" si="58"/>
        <v>1699.3</v>
      </c>
      <c r="C101" s="22">
        <f>C102+C103</f>
        <v>899.3</v>
      </c>
      <c r="D101" s="22">
        <f t="shared" ref="D101:H101" si="60">D102+D103</f>
        <v>800</v>
      </c>
      <c r="E101" s="22"/>
      <c r="F101" s="17">
        <f t="shared" si="59"/>
        <v>1666.3</v>
      </c>
      <c r="G101" s="23">
        <f t="shared" si="60"/>
        <v>866.3</v>
      </c>
      <c r="H101" s="23">
        <f t="shared" si="60"/>
        <v>800</v>
      </c>
      <c r="I101" s="23"/>
      <c r="J101" s="18">
        <f t="shared" si="46"/>
        <v>-33</v>
      </c>
      <c r="K101" s="18">
        <f t="shared" si="47"/>
        <v>-33</v>
      </c>
      <c r="L101" s="18">
        <f>H101-D101</f>
        <v>0</v>
      </c>
      <c r="M101" s="18"/>
      <c r="N101" s="18">
        <f t="shared" si="52"/>
        <v>98.058023892190903</v>
      </c>
      <c r="O101" s="18">
        <f t="shared" si="53"/>
        <v>96.330479261647952</v>
      </c>
      <c r="P101" s="18">
        <f t="shared" si="53"/>
        <v>100</v>
      </c>
      <c r="Q101" s="18"/>
    </row>
    <row r="102" spans="1:17" x14ac:dyDescent="0.25">
      <c r="A102" s="14" t="s">
        <v>1</v>
      </c>
      <c r="B102" s="15">
        <f t="shared" si="58"/>
        <v>1699.3</v>
      </c>
      <c r="C102" s="22">
        <f>C104</f>
        <v>899.3</v>
      </c>
      <c r="D102" s="22">
        <f t="shared" ref="D102:H102" si="61">D104</f>
        <v>800</v>
      </c>
      <c r="E102" s="22"/>
      <c r="F102" s="17">
        <f t="shared" si="59"/>
        <v>1666.3</v>
      </c>
      <c r="G102" s="23">
        <f t="shared" si="61"/>
        <v>866.3</v>
      </c>
      <c r="H102" s="23">
        <f t="shared" si="61"/>
        <v>800</v>
      </c>
      <c r="I102" s="23"/>
      <c r="J102" s="18">
        <f t="shared" si="46"/>
        <v>-33</v>
      </c>
      <c r="K102" s="18">
        <f t="shared" si="47"/>
        <v>-33</v>
      </c>
      <c r="L102" s="18">
        <f>H102-D102</f>
        <v>0</v>
      </c>
      <c r="M102" s="18"/>
      <c r="N102" s="18">
        <f t="shared" si="52"/>
        <v>98.058023892190903</v>
      </c>
      <c r="O102" s="18">
        <f t="shared" si="53"/>
        <v>96.330479261647952</v>
      </c>
      <c r="P102" s="18">
        <f t="shared" si="53"/>
        <v>100</v>
      </c>
      <c r="Q102" s="18"/>
    </row>
    <row r="103" spans="1:17" x14ac:dyDescent="0.25">
      <c r="A103" s="14" t="s">
        <v>0</v>
      </c>
      <c r="B103" s="15"/>
      <c r="C103" s="22"/>
      <c r="D103" s="22"/>
      <c r="E103" s="22"/>
      <c r="F103" s="17"/>
      <c r="G103" s="21"/>
      <c r="H103" s="21"/>
      <c r="I103" s="21"/>
      <c r="J103" s="18"/>
      <c r="K103" s="18"/>
      <c r="L103" s="18"/>
      <c r="M103" s="18"/>
      <c r="N103" s="18"/>
      <c r="O103" s="18"/>
      <c r="P103" s="18"/>
      <c r="Q103" s="18"/>
    </row>
    <row r="104" spans="1:17" x14ac:dyDescent="0.25">
      <c r="A104" s="24" t="s">
        <v>38</v>
      </c>
      <c r="B104" s="15">
        <f t="shared" si="58"/>
        <v>1699.3</v>
      </c>
      <c r="C104" s="20">
        <f>393.3+97.3+285.9+86.3+17.6+18.9</f>
        <v>899.3</v>
      </c>
      <c r="D104" s="20">
        <f>160+640</f>
        <v>800</v>
      </c>
      <c r="E104" s="20"/>
      <c r="F104" s="17">
        <f t="shared" si="59"/>
        <v>1666.3</v>
      </c>
      <c r="G104" s="21">
        <v>866.3</v>
      </c>
      <c r="H104" s="21">
        <v>800</v>
      </c>
      <c r="I104" s="21"/>
      <c r="J104" s="18">
        <f t="shared" si="46"/>
        <v>-33</v>
      </c>
      <c r="K104" s="18">
        <f t="shared" si="47"/>
        <v>-33</v>
      </c>
      <c r="L104" s="18">
        <f>H104-D104</f>
        <v>0</v>
      </c>
      <c r="M104" s="18"/>
      <c r="N104" s="18">
        <f t="shared" si="52"/>
        <v>98.058023892190903</v>
      </c>
      <c r="O104" s="18">
        <f t="shared" si="53"/>
        <v>96.330479261647952</v>
      </c>
      <c r="P104" s="18">
        <f t="shared" si="53"/>
        <v>100</v>
      </c>
      <c r="Q104" s="18"/>
    </row>
    <row r="105" spans="1:17" x14ac:dyDescent="0.25">
      <c r="A105" s="24"/>
      <c r="B105" s="15"/>
      <c r="C105" s="20"/>
      <c r="D105" s="20"/>
      <c r="E105" s="20"/>
      <c r="F105" s="17"/>
      <c r="G105" s="21"/>
      <c r="H105" s="21"/>
      <c r="I105" s="21"/>
      <c r="J105" s="18"/>
      <c r="K105" s="18"/>
      <c r="L105" s="18"/>
      <c r="M105" s="18"/>
      <c r="N105" s="18"/>
      <c r="O105" s="18"/>
      <c r="P105" s="18"/>
      <c r="Q105" s="18"/>
    </row>
    <row r="106" spans="1:17" x14ac:dyDescent="0.25">
      <c r="A106" s="14" t="s">
        <v>59</v>
      </c>
      <c r="B106" s="15">
        <f t="shared" ref="B106:B114" si="62">SUM(C106:E106)</f>
        <v>2215.2000000000003</v>
      </c>
      <c r="C106" s="22">
        <f>C107+C108</f>
        <v>807.20000000000016</v>
      </c>
      <c r="D106" s="22">
        <f t="shared" ref="D106:H106" si="63">D107+D108</f>
        <v>1408</v>
      </c>
      <c r="E106" s="22"/>
      <c r="F106" s="17">
        <f t="shared" ref="F106:F114" si="64">SUM(G106:I106)</f>
        <v>2211.1999999999998</v>
      </c>
      <c r="G106" s="23">
        <f t="shared" si="63"/>
        <v>803.2</v>
      </c>
      <c r="H106" s="23">
        <f t="shared" si="63"/>
        <v>1408</v>
      </c>
      <c r="I106" s="23"/>
      <c r="J106" s="18">
        <f t="shared" si="46"/>
        <v>-4.0000000000004547</v>
      </c>
      <c r="K106" s="18">
        <f t="shared" si="47"/>
        <v>-4.0000000000001137</v>
      </c>
      <c r="L106" s="18">
        <f>H106-D106</f>
        <v>0</v>
      </c>
      <c r="M106" s="18"/>
      <c r="N106" s="18">
        <f t="shared" si="52"/>
        <v>99.819429396894165</v>
      </c>
      <c r="O106" s="18">
        <f t="shared" si="53"/>
        <v>99.504459861248748</v>
      </c>
      <c r="P106" s="18">
        <f t="shared" si="53"/>
        <v>100</v>
      </c>
      <c r="Q106" s="18"/>
    </row>
    <row r="107" spans="1:17" x14ac:dyDescent="0.25">
      <c r="A107" s="14" t="s">
        <v>1</v>
      </c>
      <c r="B107" s="15">
        <f t="shared" si="62"/>
        <v>2215.2000000000003</v>
      </c>
      <c r="C107" s="22">
        <f>C109</f>
        <v>807.20000000000016</v>
      </c>
      <c r="D107" s="22">
        <f t="shared" ref="D107:H107" si="65">D109</f>
        <v>1408</v>
      </c>
      <c r="E107" s="22"/>
      <c r="F107" s="17">
        <f t="shared" si="64"/>
        <v>2211.1999999999998</v>
      </c>
      <c r="G107" s="23">
        <f t="shared" si="65"/>
        <v>803.2</v>
      </c>
      <c r="H107" s="23">
        <f t="shared" si="65"/>
        <v>1408</v>
      </c>
      <c r="I107" s="23"/>
      <c r="J107" s="18">
        <f t="shared" si="46"/>
        <v>-4.0000000000004547</v>
      </c>
      <c r="K107" s="18">
        <f t="shared" si="47"/>
        <v>-4.0000000000001137</v>
      </c>
      <c r="L107" s="18">
        <f>H107-D107</f>
        <v>0</v>
      </c>
      <c r="M107" s="18"/>
      <c r="N107" s="18">
        <f t="shared" si="52"/>
        <v>99.819429396894165</v>
      </c>
      <c r="O107" s="18">
        <f t="shared" si="53"/>
        <v>99.504459861248748</v>
      </c>
      <c r="P107" s="18">
        <f t="shared" si="53"/>
        <v>100</v>
      </c>
      <c r="Q107" s="18"/>
    </row>
    <row r="108" spans="1:17" x14ac:dyDescent="0.25">
      <c r="A108" s="14" t="s">
        <v>0</v>
      </c>
      <c r="B108" s="15"/>
      <c r="C108" s="22"/>
      <c r="D108" s="22"/>
      <c r="E108" s="22"/>
      <c r="F108" s="17"/>
      <c r="G108" s="21"/>
      <c r="H108" s="21"/>
      <c r="I108" s="21"/>
      <c r="J108" s="18"/>
      <c r="K108" s="18"/>
      <c r="L108" s="18"/>
      <c r="M108" s="18"/>
      <c r="N108" s="18"/>
      <c r="O108" s="18"/>
      <c r="P108" s="18"/>
      <c r="Q108" s="18"/>
    </row>
    <row r="109" spans="1:17" x14ac:dyDescent="0.25">
      <c r="A109" s="24" t="s">
        <v>38</v>
      </c>
      <c r="B109" s="15">
        <f t="shared" si="62"/>
        <v>2215.2000000000003</v>
      </c>
      <c r="C109" s="20">
        <f>185.3+164.2+113.1+59.1+92.1+61.4+63.6+53.2+15.2</f>
        <v>807.20000000000016</v>
      </c>
      <c r="D109" s="20">
        <f>320+1088</f>
        <v>1408</v>
      </c>
      <c r="E109" s="20"/>
      <c r="F109" s="17">
        <f t="shared" si="64"/>
        <v>2211.1999999999998</v>
      </c>
      <c r="G109" s="21">
        <v>803.2</v>
      </c>
      <c r="H109" s="21">
        <v>1408</v>
      </c>
      <c r="I109" s="21"/>
      <c r="J109" s="18">
        <f t="shared" si="46"/>
        <v>-4.0000000000004547</v>
      </c>
      <c r="K109" s="18">
        <f t="shared" si="47"/>
        <v>-4.0000000000001137</v>
      </c>
      <c r="L109" s="18">
        <f>H109-D109</f>
        <v>0</v>
      </c>
      <c r="M109" s="18"/>
      <c r="N109" s="18">
        <f t="shared" si="52"/>
        <v>99.819429396894165</v>
      </c>
      <c r="O109" s="18">
        <f t="shared" si="53"/>
        <v>99.504459861248748</v>
      </c>
      <c r="P109" s="18">
        <f t="shared" si="53"/>
        <v>100</v>
      </c>
      <c r="Q109" s="18"/>
    </row>
    <row r="110" spans="1:17" x14ac:dyDescent="0.25">
      <c r="A110" s="24"/>
      <c r="B110" s="15"/>
      <c r="C110" s="20"/>
      <c r="D110" s="20"/>
      <c r="E110" s="20"/>
      <c r="F110" s="17"/>
      <c r="G110" s="21"/>
      <c r="H110" s="21"/>
      <c r="I110" s="21"/>
      <c r="J110" s="18"/>
      <c r="K110" s="18"/>
      <c r="L110" s="18"/>
      <c r="M110" s="18"/>
      <c r="N110" s="18"/>
      <c r="O110" s="18"/>
      <c r="P110" s="18"/>
      <c r="Q110" s="18"/>
    </row>
    <row r="111" spans="1:17" x14ac:dyDescent="0.25">
      <c r="A111" s="14" t="s">
        <v>60</v>
      </c>
      <c r="B111" s="15">
        <f t="shared" si="62"/>
        <v>3439.5</v>
      </c>
      <c r="C111" s="22">
        <f>C112+C113</f>
        <v>2991.5</v>
      </c>
      <c r="D111" s="22">
        <f>D112+D113</f>
        <v>448</v>
      </c>
      <c r="E111" s="22"/>
      <c r="F111" s="17">
        <f t="shared" si="64"/>
        <v>2632.9</v>
      </c>
      <c r="G111" s="23">
        <f t="shared" ref="G111:H111" si="66">G112+G113</f>
        <v>2184.9</v>
      </c>
      <c r="H111" s="23">
        <f t="shared" si="66"/>
        <v>448</v>
      </c>
      <c r="I111" s="23"/>
      <c r="J111" s="18">
        <f t="shared" si="46"/>
        <v>-806.59999999999991</v>
      </c>
      <c r="K111" s="18">
        <f t="shared" si="47"/>
        <v>-806.59999999999991</v>
      </c>
      <c r="L111" s="18">
        <f>H111-D111</f>
        <v>0</v>
      </c>
      <c r="M111" s="18"/>
      <c r="N111" s="18">
        <f t="shared" si="52"/>
        <v>76.548916993749089</v>
      </c>
      <c r="O111" s="18">
        <f t="shared" si="53"/>
        <v>73.036937990974423</v>
      </c>
      <c r="P111" s="18">
        <f t="shared" si="53"/>
        <v>100</v>
      </c>
      <c r="Q111" s="18"/>
    </row>
    <row r="112" spans="1:17" x14ac:dyDescent="0.25">
      <c r="A112" s="14" t="s">
        <v>1</v>
      </c>
      <c r="B112" s="15">
        <f t="shared" si="62"/>
        <v>3439.5</v>
      </c>
      <c r="C112" s="22">
        <f>C114</f>
        <v>2991.5</v>
      </c>
      <c r="D112" s="22">
        <f>D114</f>
        <v>448</v>
      </c>
      <c r="E112" s="22"/>
      <c r="F112" s="17">
        <f t="shared" si="64"/>
        <v>2632.9</v>
      </c>
      <c r="G112" s="23">
        <f t="shared" ref="G112:H112" si="67">G114</f>
        <v>2184.9</v>
      </c>
      <c r="H112" s="23">
        <f t="shared" si="67"/>
        <v>448</v>
      </c>
      <c r="I112" s="23"/>
      <c r="J112" s="18">
        <f t="shared" si="46"/>
        <v>-806.59999999999991</v>
      </c>
      <c r="K112" s="18">
        <f t="shared" si="47"/>
        <v>-806.59999999999991</v>
      </c>
      <c r="L112" s="18">
        <f>H112-D112</f>
        <v>0</v>
      </c>
      <c r="M112" s="18"/>
      <c r="N112" s="18">
        <f t="shared" si="52"/>
        <v>76.548916993749089</v>
      </c>
      <c r="O112" s="18">
        <f t="shared" si="53"/>
        <v>73.036937990974423</v>
      </c>
      <c r="P112" s="18">
        <f t="shared" si="53"/>
        <v>100</v>
      </c>
      <c r="Q112" s="18"/>
    </row>
    <row r="113" spans="1:17" x14ac:dyDescent="0.25">
      <c r="A113" s="14" t="s">
        <v>0</v>
      </c>
      <c r="B113" s="15"/>
      <c r="C113" s="22"/>
      <c r="D113" s="22"/>
      <c r="E113" s="22"/>
      <c r="F113" s="17"/>
      <c r="G113" s="21"/>
      <c r="H113" s="21"/>
      <c r="I113" s="21"/>
      <c r="J113" s="18"/>
      <c r="K113" s="18"/>
      <c r="L113" s="18"/>
      <c r="M113" s="18"/>
      <c r="N113" s="18"/>
      <c r="O113" s="18"/>
      <c r="P113" s="18"/>
      <c r="Q113" s="18"/>
    </row>
    <row r="114" spans="1:17" x14ac:dyDescent="0.25">
      <c r="A114" s="24" t="s">
        <v>38</v>
      </c>
      <c r="B114" s="15">
        <f t="shared" si="62"/>
        <v>3439.5</v>
      </c>
      <c r="C114" s="20">
        <f>476+471.1+362.8+280.1+280.1+360.4+360.4+400.6</f>
        <v>2991.5</v>
      </c>
      <c r="D114" s="20">
        <f>336+112</f>
        <v>448</v>
      </c>
      <c r="E114" s="20"/>
      <c r="F114" s="17">
        <f t="shared" si="64"/>
        <v>2632.9</v>
      </c>
      <c r="G114" s="21">
        <v>2184.9</v>
      </c>
      <c r="H114" s="21">
        <v>448</v>
      </c>
      <c r="I114" s="21"/>
      <c r="J114" s="18">
        <f t="shared" si="46"/>
        <v>-806.59999999999991</v>
      </c>
      <c r="K114" s="18">
        <f t="shared" si="47"/>
        <v>-806.59999999999991</v>
      </c>
      <c r="L114" s="18">
        <f>H114-D114</f>
        <v>0</v>
      </c>
      <c r="M114" s="18"/>
      <c r="N114" s="18">
        <f t="shared" si="52"/>
        <v>76.548916993749089</v>
      </c>
      <c r="O114" s="18">
        <f t="shared" si="53"/>
        <v>73.036937990974423</v>
      </c>
      <c r="P114" s="18">
        <f t="shared" si="53"/>
        <v>100</v>
      </c>
      <c r="Q114" s="18"/>
    </row>
    <row r="115" spans="1:17" x14ac:dyDescent="0.25">
      <c r="A115" s="24"/>
      <c r="B115" s="15"/>
      <c r="C115" s="20"/>
      <c r="D115" s="20"/>
      <c r="E115" s="20"/>
      <c r="F115" s="17"/>
      <c r="G115" s="21"/>
      <c r="H115" s="21"/>
      <c r="I115" s="21"/>
      <c r="J115" s="18"/>
      <c r="K115" s="18"/>
      <c r="L115" s="18"/>
      <c r="M115" s="18"/>
      <c r="N115" s="18"/>
      <c r="O115" s="18"/>
      <c r="P115" s="18"/>
      <c r="Q115" s="18"/>
    </row>
    <row r="116" spans="1:17" x14ac:dyDescent="0.25">
      <c r="A116" s="14" t="s">
        <v>58</v>
      </c>
      <c r="B116" s="15">
        <f t="shared" ref="B116:B125" si="68">SUM(C116:E116)</f>
        <v>2574.3000000000002</v>
      </c>
      <c r="C116" s="22">
        <f>C117+C118</f>
        <v>1726.3</v>
      </c>
      <c r="D116" s="22">
        <f>D117+D118</f>
        <v>848</v>
      </c>
      <c r="E116" s="22"/>
      <c r="F116" s="17">
        <f t="shared" ref="F116:F125" si="69">SUM(G116:I116)</f>
        <v>2100.4</v>
      </c>
      <c r="G116" s="23">
        <f t="shared" ref="G116:H116" si="70">G117+G118</f>
        <v>1252.4000000000001</v>
      </c>
      <c r="H116" s="23">
        <f t="shared" si="70"/>
        <v>848</v>
      </c>
      <c r="I116" s="23"/>
      <c r="J116" s="18">
        <f t="shared" si="46"/>
        <v>-473.90000000000009</v>
      </c>
      <c r="K116" s="18">
        <f t="shared" si="47"/>
        <v>-473.89999999999986</v>
      </c>
      <c r="L116" s="18">
        <f>H116-D116</f>
        <v>0</v>
      </c>
      <c r="M116" s="18"/>
      <c r="N116" s="18">
        <f t="shared" si="52"/>
        <v>81.591112146991421</v>
      </c>
      <c r="O116" s="18">
        <f t="shared" si="53"/>
        <v>72.548224526443846</v>
      </c>
      <c r="P116" s="18">
        <f t="shared" si="53"/>
        <v>100</v>
      </c>
      <c r="Q116" s="18"/>
    </row>
    <row r="117" spans="1:17" x14ac:dyDescent="0.25">
      <c r="A117" s="14" t="s">
        <v>1</v>
      </c>
      <c r="B117" s="15">
        <f t="shared" si="68"/>
        <v>2543.5</v>
      </c>
      <c r="C117" s="22">
        <f>C119</f>
        <v>1695.5</v>
      </c>
      <c r="D117" s="22">
        <f>D119</f>
        <v>848</v>
      </c>
      <c r="E117" s="22"/>
      <c r="F117" s="17">
        <f t="shared" si="69"/>
        <v>2100.4</v>
      </c>
      <c r="G117" s="23">
        <f t="shared" ref="G117:H117" si="71">G119</f>
        <v>1252.4000000000001</v>
      </c>
      <c r="H117" s="23">
        <f t="shared" si="71"/>
        <v>848</v>
      </c>
      <c r="I117" s="23"/>
      <c r="J117" s="18">
        <f t="shared" si="46"/>
        <v>-443.09999999999991</v>
      </c>
      <c r="K117" s="18">
        <f t="shared" si="47"/>
        <v>-443.09999999999991</v>
      </c>
      <c r="L117" s="18">
        <f>H117-D117</f>
        <v>0</v>
      </c>
      <c r="M117" s="18"/>
      <c r="N117" s="18">
        <f t="shared" si="52"/>
        <v>82.579123255356791</v>
      </c>
      <c r="O117" s="18">
        <f t="shared" si="53"/>
        <v>73.866116189914493</v>
      </c>
      <c r="P117" s="18">
        <f t="shared" si="53"/>
        <v>100</v>
      </c>
      <c r="Q117" s="18"/>
    </row>
    <row r="118" spans="1:17" x14ac:dyDescent="0.25">
      <c r="A118" s="14" t="s">
        <v>0</v>
      </c>
      <c r="B118" s="15">
        <f t="shared" si="68"/>
        <v>30.8</v>
      </c>
      <c r="C118" s="22">
        <f>C120</f>
        <v>30.8</v>
      </c>
      <c r="D118" s="22"/>
      <c r="E118" s="22"/>
      <c r="F118" s="17">
        <f t="shared" si="69"/>
        <v>0</v>
      </c>
      <c r="G118" s="21"/>
      <c r="H118" s="21"/>
      <c r="I118" s="21"/>
      <c r="J118" s="18">
        <f t="shared" si="46"/>
        <v>-30.8</v>
      </c>
      <c r="K118" s="18">
        <f t="shared" si="47"/>
        <v>-30.8</v>
      </c>
      <c r="L118" s="18"/>
      <c r="M118" s="18"/>
      <c r="N118" s="18">
        <f t="shared" si="52"/>
        <v>0</v>
      </c>
      <c r="O118" s="18">
        <f t="shared" si="53"/>
        <v>0</v>
      </c>
      <c r="P118" s="18"/>
      <c r="Q118" s="18"/>
    </row>
    <row r="119" spans="1:17" x14ac:dyDescent="0.25">
      <c r="A119" s="24" t="s">
        <v>38</v>
      </c>
      <c r="B119" s="15">
        <f t="shared" si="68"/>
        <v>2543.5</v>
      </c>
      <c r="C119" s="20">
        <f>585.5+476.4+114.5+114.7+49+51.1+85.1+219.2</f>
        <v>1695.5</v>
      </c>
      <c r="D119" s="20">
        <f>80+768</f>
        <v>848</v>
      </c>
      <c r="E119" s="20"/>
      <c r="F119" s="17">
        <f t="shared" si="69"/>
        <v>2100.4</v>
      </c>
      <c r="G119" s="21">
        <v>1252.4000000000001</v>
      </c>
      <c r="H119" s="21">
        <v>848</v>
      </c>
      <c r="I119" s="21"/>
      <c r="J119" s="18">
        <f t="shared" si="46"/>
        <v>-443.09999999999991</v>
      </c>
      <c r="K119" s="18">
        <f t="shared" si="47"/>
        <v>-443.09999999999991</v>
      </c>
      <c r="L119" s="18">
        <f>H119-D119</f>
        <v>0</v>
      </c>
      <c r="M119" s="18"/>
      <c r="N119" s="18">
        <f t="shared" si="52"/>
        <v>82.579123255356791</v>
      </c>
      <c r="O119" s="18">
        <f t="shared" si="53"/>
        <v>73.866116189914493</v>
      </c>
      <c r="P119" s="18">
        <f t="shared" si="53"/>
        <v>100</v>
      </c>
      <c r="Q119" s="18"/>
    </row>
    <row r="120" spans="1:17" x14ac:dyDescent="0.25">
      <c r="A120" s="24" t="s">
        <v>58</v>
      </c>
      <c r="B120" s="15">
        <f t="shared" si="68"/>
        <v>30.8</v>
      </c>
      <c r="C120" s="20">
        <v>30.8</v>
      </c>
      <c r="D120" s="20"/>
      <c r="E120" s="20"/>
      <c r="F120" s="17">
        <f t="shared" si="69"/>
        <v>0</v>
      </c>
      <c r="G120" s="21">
        <v>0</v>
      </c>
      <c r="H120" s="21"/>
      <c r="I120" s="21"/>
      <c r="J120" s="18">
        <f t="shared" si="46"/>
        <v>-30.8</v>
      </c>
      <c r="K120" s="18">
        <f t="shared" si="47"/>
        <v>-30.8</v>
      </c>
      <c r="L120" s="18"/>
      <c r="M120" s="18"/>
      <c r="N120" s="18">
        <f t="shared" si="52"/>
        <v>0</v>
      </c>
      <c r="O120" s="18">
        <f t="shared" si="53"/>
        <v>0</v>
      </c>
      <c r="P120" s="18"/>
      <c r="Q120" s="18"/>
    </row>
    <row r="121" spans="1:17" x14ac:dyDescent="0.25">
      <c r="A121" s="24"/>
      <c r="B121" s="15"/>
      <c r="C121" s="20"/>
      <c r="D121" s="20"/>
      <c r="E121" s="20"/>
      <c r="F121" s="17"/>
      <c r="G121" s="21"/>
      <c r="H121" s="21"/>
      <c r="I121" s="21"/>
      <c r="J121" s="18"/>
      <c r="K121" s="18"/>
      <c r="L121" s="18"/>
      <c r="M121" s="18"/>
      <c r="N121" s="18"/>
      <c r="O121" s="18"/>
      <c r="P121" s="18"/>
      <c r="Q121" s="18"/>
    </row>
    <row r="122" spans="1:17" x14ac:dyDescent="0.25">
      <c r="A122" s="14" t="s">
        <v>61</v>
      </c>
      <c r="B122" s="15">
        <f t="shared" si="68"/>
        <v>2951.1</v>
      </c>
      <c r="C122" s="22">
        <f>C123+C124</f>
        <v>2279.1</v>
      </c>
      <c r="D122" s="22">
        <f t="shared" ref="D122:H122" si="72">D123+D124</f>
        <v>672</v>
      </c>
      <c r="E122" s="22"/>
      <c r="F122" s="17">
        <f t="shared" si="69"/>
        <v>2904.3</v>
      </c>
      <c r="G122" s="23">
        <f t="shared" si="72"/>
        <v>2232.3000000000002</v>
      </c>
      <c r="H122" s="23">
        <f t="shared" si="72"/>
        <v>672</v>
      </c>
      <c r="I122" s="23"/>
      <c r="J122" s="18">
        <f t="shared" si="46"/>
        <v>-46.799999999999727</v>
      </c>
      <c r="K122" s="18">
        <f t="shared" si="47"/>
        <v>-46.799999999999727</v>
      </c>
      <c r="L122" s="18">
        <f>H122-D122</f>
        <v>0</v>
      </c>
      <c r="M122" s="18"/>
      <c r="N122" s="18">
        <f t="shared" si="52"/>
        <v>98.41415065568772</v>
      </c>
      <c r="O122" s="18">
        <f t="shared" si="53"/>
        <v>97.946557851783609</v>
      </c>
      <c r="P122" s="18">
        <f t="shared" si="53"/>
        <v>100</v>
      </c>
      <c r="Q122" s="18"/>
    </row>
    <row r="123" spans="1:17" x14ac:dyDescent="0.25">
      <c r="A123" s="14" t="s">
        <v>1</v>
      </c>
      <c r="B123" s="15">
        <f t="shared" si="68"/>
        <v>672</v>
      </c>
      <c r="C123" s="22">
        <f>C125</f>
        <v>0</v>
      </c>
      <c r="D123" s="22">
        <f t="shared" ref="D123:H123" si="73">D125</f>
        <v>672</v>
      </c>
      <c r="E123" s="22"/>
      <c r="F123" s="17">
        <f t="shared" si="69"/>
        <v>672</v>
      </c>
      <c r="G123" s="23"/>
      <c r="H123" s="23">
        <f t="shared" si="73"/>
        <v>672</v>
      </c>
      <c r="I123" s="23"/>
      <c r="J123" s="18"/>
      <c r="K123" s="18"/>
      <c r="L123" s="18"/>
      <c r="M123" s="18"/>
      <c r="N123" s="18">
        <f t="shared" si="52"/>
        <v>100</v>
      </c>
      <c r="O123" s="18"/>
      <c r="P123" s="18">
        <f t="shared" si="53"/>
        <v>100</v>
      </c>
      <c r="Q123" s="18"/>
    </row>
    <row r="124" spans="1:17" x14ac:dyDescent="0.25">
      <c r="A124" s="14" t="s">
        <v>0</v>
      </c>
      <c r="B124" s="15">
        <f t="shared" si="68"/>
        <v>2279.1</v>
      </c>
      <c r="C124" s="22">
        <f>C126</f>
        <v>2279.1</v>
      </c>
      <c r="D124" s="22"/>
      <c r="E124" s="22"/>
      <c r="F124" s="17">
        <f t="shared" si="69"/>
        <v>2232.3000000000002</v>
      </c>
      <c r="G124" s="23">
        <f>G126</f>
        <v>2232.3000000000002</v>
      </c>
      <c r="H124" s="23"/>
      <c r="I124" s="23"/>
      <c r="J124" s="18">
        <f t="shared" si="46"/>
        <v>-46.799999999999727</v>
      </c>
      <c r="K124" s="18">
        <f t="shared" si="47"/>
        <v>-46.799999999999727</v>
      </c>
      <c r="L124" s="18"/>
      <c r="M124" s="18"/>
      <c r="N124" s="18">
        <f t="shared" si="52"/>
        <v>97.946557851783609</v>
      </c>
      <c r="O124" s="18">
        <f t="shared" si="53"/>
        <v>97.946557851783609</v>
      </c>
      <c r="P124" s="18"/>
      <c r="Q124" s="18"/>
    </row>
    <row r="125" spans="1:17" x14ac:dyDescent="0.25">
      <c r="A125" s="24" t="s">
        <v>38</v>
      </c>
      <c r="B125" s="15">
        <f t="shared" si="68"/>
        <v>672</v>
      </c>
      <c r="C125" s="20"/>
      <c r="D125" s="20">
        <f>192+480</f>
        <v>672</v>
      </c>
      <c r="E125" s="20"/>
      <c r="F125" s="17">
        <f t="shared" si="69"/>
        <v>672</v>
      </c>
      <c r="G125" s="21"/>
      <c r="H125" s="21">
        <v>672</v>
      </c>
      <c r="I125" s="21"/>
      <c r="J125" s="18">
        <f>F125-B125</f>
        <v>0</v>
      </c>
      <c r="K125" s="18"/>
      <c r="L125" s="18"/>
      <c r="M125" s="18"/>
      <c r="N125" s="18">
        <f t="shared" si="52"/>
        <v>100</v>
      </c>
      <c r="O125" s="18"/>
      <c r="P125" s="18">
        <f t="shared" si="53"/>
        <v>100</v>
      </c>
      <c r="Q125" s="18"/>
    </row>
    <row r="126" spans="1:17" x14ac:dyDescent="0.25">
      <c r="A126" s="24" t="s">
        <v>62</v>
      </c>
      <c r="B126" s="15">
        <f t="shared" ref="B126:B136" si="74">SUM(C126:E126)</f>
        <v>2279.1</v>
      </c>
      <c r="C126" s="20">
        <f>444.1+612+270+153+229+346+225</f>
        <v>2279.1</v>
      </c>
      <c r="D126" s="20"/>
      <c r="E126" s="20"/>
      <c r="F126" s="17">
        <f t="shared" ref="F126:F136" si="75">SUM(G126:I126)</f>
        <v>2232.3000000000002</v>
      </c>
      <c r="G126" s="21">
        <v>2232.3000000000002</v>
      </c>
      <c r="H126" s="21"/>
      <c r="I126" s="21"/>
      <c r="J126" s="18">
        <f t="shared" si="46"/>
        <v>-46.799999999999727</v>
      </c>
      <c r="K126" s="18">
        <f t="shared" si="47"/>
        <v>-46.799999999999727</v>
      </c>
      <c r="L126" s="18"/>
      <c r="M126" s="18"/>
      <c r="N126" s="18">
        <f t="shared" si="52"/>
        <v>97.946557851783609</v>
      </c>
      <c r="O126" s="18">
        <f t="shared" si="53"/>
        <v>97.946557851783609</v>
      </c>
      <c r="P126" s="18"/>
      <c r="Q126" s="18"/>
    </row>
    <row r="127" spans="1:17" x14ac:dyDescent="0.25">
      <c r="A127" s="24"/>
      <c r="B127" s="15"/>
      <c r="C127" s="20"/>
      <c r="D127" s="20"/>
      <c r="E127" s="20"/>
      <c r="F127" s="17"/>
      <c r="G127" s="21"/>
      <c r="H127" s="21"/>
      <c r="I127" s="21"/>
      <c r="J127" s="18"/>
      <c r="K127" s="18"/>
      <c r="L127" s="18"/>
      <c r="M127" s="18"/>
      <c r="N127" s="18"/>
      <c r="O127" s="18"/>
      <c r="P127" s="18"/>
      <c r="Q127" s="18"/>
    </row>
    <row r="128" spans="1:17" x14ac:dyDescent="0.25">
      <c r="A128" s="14" t="s">
        <v>63</v>
      </c>
      <c r="B128" s="15">
        <f t="shared" si="74"/>
        <v>580.4</v>
      </c>
      <c r="C128" s="22">
        <f>C129+C130</f>
        <v>228.4</v>
      </c>
      <c r="D128" s="22">
        <f t="shared" ref="D128:H128" si="76">D129+D130</f>
        <v>352</v>
      </c>
      <c r="E128" s="22"/>
      <c r="F128" s="17">
        <f t="shared" si="75"/>
        <v>467</v>
      </c>
      <c r="G128" s="23">
        <f t="shared" si="76"/>
        <v>115</v>
      </c>
      <c r="H128" s="23">
        <f t="shared" si="76"/>
        <v>352</v>
      </c>
      <c r="I128" s="23"/>
      <c r="J128" s="18">
        <f t="shared" si="46"/>
        <v>-113.39999999999998</v>
      </c>
      <c r="K128" s="18">
        <f t="shared" si="47"/>
        <v>-113.4</v>
      </c>
      <c r="L128" s="18">
        <f>H128-D128</f>
        <v>0</v>
      </c>
      <c r="M128" s="18"/>
      <c r="N128" s="18">
        <f t="shared" si="52"/>
        <v>80.461750516884905</v>
      </c>
      <c r="O128" s="18">
        <f t="shared" si="53"/>
        <v>50.350262697022764</v>
      </c>
      <c r="P128" s="18">
        <f t="shared" si="53"/>
        <v>100</v>
      </c>
      <c r="Q128" s="18"/>
    </row>
    <row r="129" spans="1:17" x14ac:dyDescent="0.25">
      <c r="A129" s="14" t="s">
        <v>1</v>
      </c>
      <c r="B129" s="15">
        <f t="shared" si="74"/>
        <v>580.4</v>
      </c>
      <c r="C129" s="22">
        <f>C131</f>
        <v>228.4</v>
      </c>
      <c r="D129" s="22">
        <f t="shared" ref="D129:H129" si="77">D131</f>
        <v>352</v>
      </c>
      <c r="E129" s="22"/>
      <c r="F129" s="17">
        <f t="shared" si="75"/>
        <v>467</v>
      </c>
      <c r="G129" s="23">
        <f t="shared" si="77"/>
        <v>115</v>
      </c>
      <c r="H129" s="23">
        <f t="shared" si="77"/>
        <v>352</v>
      </c>
      <c r="I129" s="23"/>
      <c r="J129" s="18">
        <f t="shared" si="46"/>
        <v>-113.39999999999998</v>
      </c>
      <c r="K129" s="18">
        <f t="shared" si="47"/>
        <v>-113.4</v>
      </c>
      <c r="L129" s="18">
        <f>H129-D129</f>
        <v>0</v>
      </c>
      <c r="M129" s="18"/>
      <c r="N129" s="18">
        <f t="shared" si="52"/>
        <v>80.461750516884905</v>
      </c>
      <c r="O129" s="18">
        <f t="shared" si="53"/>
        <v>50.350262697022764</v>
      </c>
      <c r="P129" s="18">
        <f t="shared" si="53"/>
        <v>100</v>
      </c>
      <c r="Q129" s="18"/>
    </row>
    <row r="130" spans="1:17" x14ac:dyDescent="0.25">
      <c r="A130" s="14" t="s">
        <v>0</v>
      </c>
      <c r="B130" s="15"/>
      <c r="C130" s="22"/>
      <c r="D130" s="22"/>
      <c r="E130" s="22"/>
      <c r="F130" s="17"/>
      <c r="G130" s="21"/>
      <c r="H130" s="21"/>
      <c r="I130" s="21"/>
      <c r="J130" s="18"/>
      <c r="K130" s="18"/>
      <c r="L130" s="18"/>
      <c r="M130" s="18"/>
      <c r="N130" s="18"/>
      <c r="O130" s="18"/>
      <c r="P130" s="18"/>
      <c r="Q130" s="18"/>
    </row>
    <row r="131" spans="1:17" x14ac:dyDescent="0.25">
      <c r="A131" s="24" t="s">
        <v>38</v>
      </c>
      <c r="B131" s="15">
        <f t="shared" si="74"/>
        <v>580.4</v>
      </c>
      <c r="C131" s="20">
        <f>176.5+49+2.9</f>
        <v>228.4</v>
      </c>
      <c r="D131" s="20">
        <f>208+144</f>
        <v>352</v>
      </c>
      <c r="E131" s="20"/>
      <c r="F131" s="17">
        <f t="shared" si="75"/>
        <v>467</v>
      </c>
      <c r="G131" s="21">
        <v>115</v>
      </c>
      <c r="H131" s="21">
        <v>352</v>
      </c>
      <c r="I131" s="21"/>
      <c r="J131" s="18">
        <f t="shared" si="46"/>
        <v>-113.39999999999998</v>
      </c>
      <c r="K131" s="18">
        <f t="shared" si="47"/>
        <v>-113.4</v>
      </c>
      <c r="L131" s="18">
        <f>H131-D131</f>
        <v>0</v>
      </c>
      <c r="M131" s="18"/>
      <c r="N131" s="18">
        <f t="shared" si="52"/>
        <v>80.461750516884905</v>
      </c>
      <c r="O131" s="18">
        <f t="shared" si="53"/>
        <v>50.350262697022764</v>
      </c>
      <c r="P131" s="18">
        <f t="shared" si="53"/>
        <v>100</v>
      </c>
      <c r="Q131" s="18"/>
    </row>
    <row r="132" spans="1:17" x14ac:dyDescent="0.25">
      <c r="A132" s="24"/>
      <c r="B132" s="15"/>
      <c r="C132" s="20"/>
      <c r="D132" s="20"/>
      <c r="E132" s="20"/>
      <c r="F132" s="17"/>
      <c r="G132" s="21"/>
      <c r="H132" s="21"/>
      <c r="I132" s="21"/>
      <c r="J132" s="18"/>
      <c r="K132" s="18"/>
      <c r="L132" s="18"/>
      <c r="M132" s="18"/>
      <c r="N132" s="18"/>
      <c r="O132" s="18"/>
      <c r="P132" s="18"/>
      <c r="Q132" s="18"/>
    </row>
    <row r="133" spans="1:17" x14ac:dyDescent="0.25">
      <c r="A133" s="14" t="s">
        <v>64</v>
      </c>
      <c r="B133" s="15">
        <f t="shared" si="74"/>
        <v>1833.6</v>
      </c>
      <c r="C133" s="22">
        <f>C134+C135</f>
        <v>889.59999999999991</v>
      </c>
      <c r="D133" s="22">
        <f t="shared" ref="D133:H133" si="78">D134+D135</f>
        <v>944</v>
      </c>
      <c r="E133" s="22"/>
      <c r="F133" s="17">
        <f t="shared" si="75"/>
        <v>1809.8</v>
      </c>
      <c r="G133" s="23">
        <f t="shared" si="78"/>
        <v>865.8</v>
      </c>
      <c r="H133" s="23">
        <f t="shared" si="78"/>
        <v>944</v>
      </c>
      <c r="I133" s="23"/>
      <c r="J133" s="18">
        <f t="shared" si="46"/>
        <v>-23.799999999999955</v>
      </c>
      <c r="K133" s="18">
        <f t="shared" si="47"/>
        <v>-23.799999999999955</v>
      </c>
      <c r="L133" s="18">
        <f>H133-D133</f>
        <v>0</v>
      </c>
      <c r="M133" s="18"/>
      <c r="N133" s="18">
        <f t="shared" si="52"/>
        <v>98.702006980802793</v>
      </c>
      <c r="O133" s="18">
        <f t="shared" si="53"/>
        <v>97.324640287769796</v>
      </c>
      <c r="P133" s="18">
        <f t="shared" si="53"/>
        <v>100</v>
      </c>
      <c r="Q133" s="18"/>
    </row>
    <row r="134" spans="1:17" x14ac:dyDescent="0.25">
      <c r="A134" s="14" t="s">
        <v>1</v>
      </c>
      <c r="B134" s="15">
        <f t="shared" si="74"/>
        <v>1833.6</v>
      </c>
      <c r="C134" s="22">
        <f>C136</f>
        <v>889.59999999999991</v>
      </c>
      <c r="D134" s="22">
        <f t="shared" ref="D134:H134" si="79">D136</f>
        <v>944</v>
      </c>
      <c r="E134" s="22"/>
      <c r="F134" s="17">
        <f t="shared" si="75"/>
        <v>1809.8</v>
      </c>
      <c r="G134" s="23">
        <f t="shared" si="79"/>
        <v>865.8</v>
      </c>
      <c r="H134" s="23">
        <f t="shared" si="79"/>
        <v>944</v>
      </c>
      <c r="I134" s="23"/>
      <c r="J134" s="18">
        <f t="shared" si="46"/>
        <v>-23.799999999999955</v>
      </c>
      <c r="K134" s="18">
        <f t="shared" si="47"/>
        <v>-23.799999999999955</v>
      </c>
      <c r="L134" s="18">
        <f>H134-D134</f>
        <v>0</v>
      </c>
      <c r="M134" s="18"/>
      <c r="N134" s="18">
        <f t="shared" si="52"/>
        <v>98.702006980802793</v>
      </c>
      <c r="O134" s="18">
        <f t="shared" si="53"/>
        <v>97.324640287769796</v>
      </c>
      <c r="P134" s="18">
        <f t="shared" si="53"/>
        <v>100</v>
      </c>
      <c r="Q134" s="18"/>
    </row>
    <row r="135" spans="1:17" x14ac:dyDescent="0.25">
      <c r="A135" s="14" t="s">
        <v>0</v>
      </c>
      <c r="B135" s="15"/>
      <c r="C135" s="22"/>
      <c r="D135" s="22"/>
      <c r="E135" s="22"/>
      <c r="F135" s="17"/>
      <c r="G135" s="21"/>
      <c r="H135" s="21"/>
      <c r="I135" s="21"/>
      <c r="J135" s="18"/>
      <c r="K135" s="18"/>
      <c r="L135" s="18"/>
      <c r="M135" s="18"/>
      <c r="N135" s="18"/>
      <c r="O135" s="18"/>
      <c r="P135" s="18"/>
      <c r="Q135" s="18"/>
    </row>
    <row r="136" spans="1:17" x14ac:dyDescent="0.25">
      <c r="A136" s="24" t="s">
        <v>38</v>
      </c>
      <c r="B136" s="15">
        <f t="shared" si="74"/>
        <v>1833.6</v>
      </c>
      <c r="C136" s="20">
        <f>281.8+181.2+166.1+166.2+94.3</f>
        <v>889.59999999999991</v>
      </c>
      <c r="D136" s="20">
        <f>208+736</f>
        <v>944</v>
      </c>
      <c r="E136" s="20"/>
      <c r="F136" s="17">
        <f t="shared" si="75"/>
        <v>1809.8</v>
      </c>
      <c r="G136" s="21">
        <v>865.8</v>
      </c>
      <c r="H136" s="21">
        <v>944</v>
      </c>
      <c r="I136" s="21"/>
      <c r="J136" s="18">
        <f t="shared" si="46"/>
        <v>-23.799999999999955</v>
      </c>
      <c r="K136" s="18">
        <f t="shared" si="47"/>
        <v>-23.799999999999955</v>
      </c>
      <c r="L136" s="18">
        <f>H136-D136</f>
        <v>0</v>
      </c>
      <c r="M136" s="18"/>
      <c r="N136" s="18">
        <f t="shared" si="52"/>
        <v>98.702006980802793</v>
      </c>
      <c r="O136" s="18">
        <f t="shared" si="53"/>
        <v>97.324640287769796</v>
      </c>
      <c r="P136" s="18">
        <f t="shared" si="53"/>
        <v>100</v>
      </c>
      <c r="Q136" s="18"/>
    </row>
    <row r="137" spans="1:17" x14ac:dyDescent="0.25">
      <c r="A137" s="24"/>
      <c r="B137" s="15"/>
      <c r="C137" s="20"/>
      <c r="D137" s="20"/>
      <c r="E137" s="20"/>
      <c r="F137" s="17"/>
      <c r="G137" s="21"/>
      <c r="H137" s="21"/>
      <c r="I137" s="21"/>
      <c r="J137" s="18"/>
      <c r="K137" s="18"/>
      <c r="L137" s="18"/>
      <c r="M137" s="18"/>
      <c r="N137" s="18"/>
      <c r="O137" s="18"/>
      <c r="P137" s="18"/>
      <c r="Q137" s="18"/>
    </row>
    <row r="138" spans="1:17" x14ac:dyDescent="0.25">
      <c r="A138" s="14" t="s">
        <v>65</v>
      </c>
      <c r="B138" s="15">
        <f t="shared" ref="B138:B147" si="80">SUM(C138:E138)</f>
        <v>1728.6999999999998</v>
      </c>
      <c r="C138" s="22">
        <f>C139+C140</f>
        <v>880.69999999999993</v>
      </c>
      <c r="D138" s="22">
        <f t="shared" ref="D138:H138" si="81">D139+D140</f>
        <v>848</v>
      </c>
      <c r="E138" s="22"/>
      <c r="F138" s="17">
        <f t="shared" ref="F138:F147" si="82">SUM(G138:I138)</f>
        <v>1608</v>
      </c>
      <c r="G138" s="23">
        <f t="shared" si="81"/>
        <v>760</v>
      </c>
      <c r="H138" s="23">
        <f t="shared" si="81"/>
        <v>848</v>
      </c>
      <c r="I138" s="23"/>
      <c r="J138" s="18">
        <f t="shared" si="46"/>
        <v>-120.69999999999982</v>
      </c>
      <c r="K138" s="18">
        <f t="shared" si="47"/>
        <v>-120.69999999999993</v>
      </c>
      <c r="L138" s="18">
        <f>H138-D138</f>
        <v>0</v>
      </c>
      <c r="M138" s="18"/>
      <c r="N138" s="18">
        <f t="shared" si="52"/>
        <v>93.01787470353446</v>
      </c>
      <c r="O138" s="18">
        <f t="shared" si="53"/>
        <v>86.294992619507212</v>
      </c>
      <c r="P138" s="18">
        <f t="shared" si="53"/>
        <v>100</v>
      </c>
      <c r="Q138" s="18"/>
    </row>
    <row r="139" spans="1:17" x14ac:dyDescent="0.25">
      <c r="A139" s="14" t="s">
        <v>1</v>
      </c>
      <c r="B139" s="15">
        <f t="shared" si="80"/>
        <v>1728.6999999999998</v>
      </c>
      <c r="C139" s="22">
        <f>C141</f>
        <v>880.69999999999993</v>
      </c>
      <c r="D139" s="22">
        <f t="shared" ref="D139:H139" si="83">D141</f>
        <v>848</v>
      </c>
      <c r="E139" s="22"/>
      <c r="F139" s="17">
        <f t="shared" si="82"/>
        <v>1608</v>
      </c>
      <c r="G139" s="23">
        <f t="shared" si="83"/>
        <v>760</v>
      </c>
      <c r="H139" s="23">
        <f t="shared" si="83"/>
        <v>848</v>
      </c>
      <c r="I139" s="23"/>
      <c r="J139" s="18">
        <f t="shared" si="46"/>
        <v>-120.69999999999982</v>
      </c>
      <c r="K139" s="18">
        <f t="shared" si="47"/>
        <v>-120.69999999999993</v>
      </c>
      <c r="L139" s="18">
        <f>H139-D139</f>
        <v>0</v>
      </c>
      <c r="M139" s="18"/>
      <c r="N139" s="18">
        <f t="shared" si="52"/>
        <v>93.01787470353446</v>
      </c>
      <c r="O139" s="18">
        <f t="shared" si="53"/>
        <v>86.294992619507212</v>
      </c>
      <c r="P139" s="18">
        <f t="shared" si="53"/>
        <v>100</v>
      </c>
      <c r="Q139" s="18"/>
    </row>
    <row r="140" spans="1:17" x14ac:dyDescent="0.25">
      <c r="A140" s="14" t="s">
        <v>0</v>
      </c>
      <c r="B140" s="15"/>
      <c r="C140" s="22"/>
      <c r="D140" s="22"/>
      <c r="E140" s="22"/>
      <c r="F140" s="17"/>
      <c r="G140" s="21"/>
      <c r="H140" s="21"/>
      <c r="I140" s="21"/>
      <c r="J140" s="18"/>
      <c r="K140" s="18"/>
      <c r="L140" s="18"/>
      <c r="M140" s="18"/>
      <c r="N140" s="18"/>
      <c r="O140" s="18"/>
      <c r="P140" s="18"/>
      <c r="Q140" s="18"/>
    </row>
    <row r="141" spans="1:17" x14ac:dyDescent="0.25">
      <c r="A141" s="24" t="s">
        <v>38</v>
      </c>
      <c r="B141" s="15">
        <f t="shared" si="80"/>
        <v>1728.6999999999998</v>
      </c>
      <c r="C141" s="20">
        <f>240.2+289.9+277.6+73</f>
        <v>880.69999999999993</v>
      </c>
      <c r="D141" s="20">
        <f>336+512</f>
        <v>848</v>
      </c>
      <c r="E141" s="20"/>
      <c r="F141" s="17">
        <f t="shared" si="82"/>
        <v>1608</v>
      </c>
      <c r="G141" s="21">
        <v>760</v>
      </c>
      <c r="H141" s="21">
        <v>848</v>
      </c>
      <c r="I141" s="21"/>
      <c r="J141" s="18">
        <f t="shared" si="46"/>
        <v>-120.69999999999982</v>
      </c>
      <c r="K141" s="18">
        <f t="shared" si="47"/>
        <v>-120.69999999999993</v>
      </c>
      <c r="L141" s="18">
        <f>H141-D141</f>
        <v>0</v>
      </c>
      <c r="M141" s="18"/>
      <c r="N141" s="18">
        <f t="shared" si="52"/>
        <v>93.01787470353446</v>
      </c>
      <c r="O141" s="18">
        <f t="shared" si="53"/>
        <v>86.294992619507212</v>
      </c>
      <c r="P141" s="18">
        <f t="shared" si="53"/>
        <v>100</v>
      </c>
      <c r="Q141" s="18"/>
    </row>
    <row r="142" spans="1:17" x14ac:dyDescent="0.25">
      <c r="A142" s="24"/>
      <c r="B142" s="15"/>
      <c r="C142" s="20"/>
      <c r="D142" s="20"/>
      <c r="E142" s="20"/>
      <c r="F142" s="17"/>
      <c r="G142" s="21"/>
      <c r="H142" s="21"/>
      <c r="I142" s="21"/>
      <c r="J142" s="18"/>
      <c r="K142" s="18"/>
      <c r="L142" s="18"/>
      <c r="M142" s="18"/>
      <c r="N142" s="18"/>
      <c r="O142" s="18"/>
      <c r="P142" s="18"/>
      <c r="Q142" s="18"/>
    </row>
    <row r="143" spans="1:17" x14ac:dyDescent="0.25">
      <c r="A143" s="14" t="s">
        <v>66</v>
      </c>
      <c r="B143" s="15">
        <f t="shared" si="80"/>
        <v>2916.8</v>
      </c>
      <c r="C143" s="22">
        <f>C144+C145</f>
        <v>1668.8</v>
      </c>
      <c r="D143" s="22">
        <f t="shared" ref="D143:H143" si="84">D144+D145</f>
        <v>1248</v>
      </c>
      <c r="E143" s="22"/>
      <c r="F143" s="17">
        <f t="shared" si="82"/>
        <v>2609.9</v>
      </c>
      <c r="G143" s="23">
        <f t="shared" si="84"/>
        <v>1361.9</v>
      </c>
      <c r="H143" s="23">
        <f t="shared" si="84"/>
        <v>1248</v>
      </c>
      <c r="I143" s="23"/>
      <c r="J143" s="18">
        <f t="shared" ref="J143:J204" si="85">F143-B143</f>
        <v>-306.90000000000009</v>
      </c>
      <c r="K143" s="18">
        <f t="shared" ref="K143:L204" si="86">G143-C143</f>
        <v>-306.89999999999986</v>
      </c>
      <c r="L143" s="18">
        <f>H143-D143</f>
        <v>0</v>
      </c>
      <c r="M143" s="18"/>
      <c r="N143" s="18">
        <f t="shared" si="52"/>
        <v>89.478195282501375</v>
      </c>
      <c r="O143" s="18">
        <f t="shared" si="53"/>
        <v>81.609539789069999</v>
      </c>
      <c r="P143" s="18">
        <f t="shared" si="53"/>
        <v>100</v>
      </c>
      <c r="Q143" s="18"/>
    </row>
    <row r="144" spans="1:17" x14ac:dyDescent="0.25">
      <c r="A144" s="14" t="s">
        <v>1</v>
      </c>
      <c r="B144" s="15">
        <f t="shared" si="80"/>
        <v>2306.8000000000002</v>
      </c>
      <c r="C144" s="22">
        <f>C146</f>
        <v>1058.8</v>
      </c>
      <c r="D144" s="22">
        <f t="shared" ref="D144:H144" si="87">D146</f>
        <v>1248</v>
      </c>
      <c r="E144" s="22"/>
      <c r="F144" s="17">
        <f t="shared" si="82"/>
        <v>2277.5</v>
      </c>
      <c r="G144" s="23">
        <f t="shared" si="87"/>
        <v>1029.5</v>
      </c>
      <c r="H144" s="23">
        <f t="shared" si="87"/>
        <v>1248</v>
      </c>
      <c r="I144" s="23"/>
      <c r="J144" s="18">
        <f t="shared" si="85"/>
        <v>-29.300000000000182</v>
      </c>
      <c r="K144" s="18">
        <f t="shared" si="86"/>
        <v>-29.299999999999955</v>
      </c>
      <c r="L144" s="18">
        <f>H144-D144</f>
        <v>0</v>
      </c>
      <c r="M144" s="18"/>
      <c r="N144" s="18">
        <f t="shared" si="52"/>
        <v>98.729842205652844</v>
      </c>
      <c r="O144" s="18">
        <f t="shared" si="53"/>
        <v>97.232716282584065</v>
      </c>
      <c r="P144" s="18">
        <f t="shared" si="53"/>
        <v>100</v>
      </c>
      <c r="Q144" s="18"/>
    </row>
    <row r="145" spans="1:17" x14ac:dyDescent="0.25">
      <c r="A145" s="14" t="s">
        <v>0</v>
      </c>
      <c r="B145" s="15">
        <f t="shared" si="80"/>
        <v>610</v>
      </c>
      <c r="C145" s="22">
        <f>C147+C148</f>
        <v>610</v>
      </c>
      <c r="D145" s="22">
        <f>D147+D148</f>
        <v>0</v>
      </c>
      <c r="E145" s="22"/>
      <c r="F145" s="17">
        <f t="shared" si="82"/>
        <v>332.4</v>
      </c>
      <c r="G145" s="23">
        <f>G147+G148</f>
        <v>332.4</v>
      </c>
      <c r="H145" s="23">
        <f>H147+H148</f>
        <v>0</v>
      </c>
      <c r="I145" s="23"/>
      <c r="J145" s="18">
        <f t="shared" si="85"/>
        <v>-277.60000000000002</v>
      </c>
      <c r="K145" s="18">
        <f t="shared" si="86"/>
        <v>-277.60000000000002</v>
      </c>
      <c r="L145" s="18">
        <f>H145-D145</f>
        <v>0</v>
      </c>
      <c r="M145" s="18"/>
      <c r="N145" s="18">
        <f t="shared" si="52"/>
        <v>54.491803278688522</v>
      </c>
      <c r="O145" s="18">
        <f t="shared" si="53"/>
        <v>54.491803278688522</v>
      </c>
      <c r="P145" s="18"/>
      <c r="Q145" s="18"/>
    </row>
    <row r="146" spans="1:17" x14ac:dyDescent="0.25">
      <c r="A146" s="24" t="s">
        <v>38</v>
      </c>
      <c r="B146" s="15">
        <f t="shared" si="80"/>
        <v>2306.8000000000002</v>
      </c>
      <c r="C146" s="20">
        <f>199.7+168.6+139.2+120.7+85.9+145.9+86.9+111.9</f>
        <v>1058.8</v>
      </c>
      <c r="D146" s="20">
        <f>96+1152</f>
        <v>1248</v>
      </c>
      <c r="E146" s="20"/>
      <c r="F146" s="17">
        <f t="shared" si="82"/>
        <v>2277.5</v>
      </c>
      <c r="G146" s="21">
        <v>1029.5</v>
      </c>
      <c r="H146" s="21">
        <v>1248</v>
      </c>
      <c r="I146" s="21"/>
      <c r="J146" s="18">
        <f t="shared" si="85"/>
        <v>-29.300000000000182</v>
      </c>
      <c r="K146" s="18">
        <f t="shared" si="86"/>
        <v>-29.299999999999955</v>
      </c>
      <c r="L146" s="18">
        <f>H146-D146</f>
        <v>0</v>
      </c>
      <c r="M146" s="18"/>
      <c r="N146" s="18">
        <f t="shared" si="52"/>
        <v>98.729842205652844</v>
      </c>
      <c r="O146" s="18">
        <f t="shared" si="53"/>
        <v>97.232716282584065</v>
      </c>
      <c r="P146" s="18">
        <f t="shared" si="53"/>
        <v>100</v>
      </c>
      <c r="Q146" s="18"/>
    </row>
    <row r="147" spans="1:17" x14ac:dyDescent="0.25">
      <c r="A147" s="24" t="s">
        <v>67</v>
      </c>
      <c r="B147" s="15">
        <f t="shared" si="80"/>
        <v>420.6</v>
      </c>
      <c r="C147" s="20">
        <f>146.1+75.4+136.5+62.6</f>
        <v>420.6</v>
      </c>
      <c r="D147" s="20"/>
      <c r="E147" s="20"/>
      <c r="F147" s="17">
        <f t="shared" si="82"/>
        <v>332.4</v>
      </c>
      <c r="G147" s="21">
        <v>332.4</v>
      </c>
      <c r="H147" s="21"/>
      <c r="I147" s="21"/>
      <c r="J147" s="18">
        <f t="shared" si="85"/>
        <v>-88.200000000000045</v>
      </c>
      <c r="K147" s="18">
        <f t="shared" si="86"/>
        <v>-88.200000000000045</v>
      </c>
      <c r="L147" s="18"/>
      <c r="M147" s="18"/>
      <c r="N147" s="18">
        <f t="shared" ref="N147:N204" si="88">F147/B147*100</f>
        <v>79.029957203994286</v>
      </c>
      <c r="O147" s="18">
        <f t="shared" si="53"/>
        <v>79.029957203994286</v>
      </c>
      <c r="P147" s="18"/>
      <c r="Q147" s="18"/>
    </row>
    <row r="148" spans="1:17" x14ac:dyDescent="0.25">
      <c r="A148" s="24" t="s">
        <v>66</v>
      </c>
      <c r="B148" s="15">
        <f t="shared" ref="B148:B158" si="89">SUM(C148:E148)</f>
        <v>189.4</v>
      </c>
      <c r="C148" s="20">
        <f>189.4</f>
        <v>189.4</v>
      </c>
      <c r="D148" s="20"/>
      <c r="E148" s="20"/>
      <c r="F148" s="17">
        <f t="shared" ref="F148:F158" si="90">SUM(G148:I148)</f>
        <v>0</v>
      </c>
      <c r="G148" s="21">
        <v>0</v>
      </c>
      <c r="H148" s="21"/>
      <c r="I148" s="21"/>
      <c r="J148" s="18">
        <f t="shared" si="85"/>
        <v>-189.4</v>
      </c>
      <c r="K148" s="18">
        <f t="shared" si="86"/>
        <v>-189.4</v>
      </c>
      <c r="L148" s="18"/>
      <c r="M148" s="18"/>
      <c r="N148" s="18">
        <f t="shared" si="88"/>
        <v>0</v>
      </c>
      <c r="O148" s="18">
        <f t="shared" si="53"/>
        <v>0</v>
      </c>
      <c r="P148" s="18"/>
      <c r="Q148" s="18"/>
    </row>
    <row r="149" spans="1:17" x14ac:dyDescent="0.25">
      <c r="A149" s="24"/>
      <c r="B149" s="15"/>
      <c r="C149" s="20"/>
      <c r="D149" s="20"/>
      <c r="E149" s="20"/>
      <c r="F149" s="17"/>
      <c r="G149" s="21"/>
      <c r="H149" s="21"/>
      <c r="I149" s="21"/>
      <c r="J149" s="18"/>
      <c r="K149" s="18"/>
      <c r="L149" s="18"/>
      <c r="M149" s="18"/>
      <c r="N149" s="18"/>
      <c r="O149" s="18"/>
      <c r="P149" s="18"/>
      <c r="Q149" s="18"/>
    </row>
    <row r="150" spans="1:17" x14ac:dyDescent="0.25">
      <c r="A150" s="14" t="s">
        <v>68</v>
      </c>
      <c r="B150" s="15">
        <f t="shared" si="89"/>
        <v>399.49999999999994</v>
      </c>
      <c r="C150" s="22">
        <f>C151+C152</f>
        <v>287.49999999999994</v>
      </c>
      <c r="D150" s="22">
        <f t="shared" ref="D150:H150" si="91">D151+D152</f>
        <v>112</v>
      </c>
      <c r="E150" s="22"/>
      <c r="F150" s="17">
        <f t="shared" si="90"/>
        <v>274.60000000000002</v>
      </c>
      <c r="G150" s="23">
        <f t="shared" si="91"/>
        <v>162.6</v>
      </c>
      <c r="H150" s="23">
        <f t="shared" si="91"/>
        <v>112</v>
      </c>
      <c r="I150" s="23"/>
      <c r="J150" s="18">
        <f t="shared" si="85"/>
        <v>-124.89999999999992</v>
      </c>
      <c r="K150" s="18">
        <f t="shared" si="86"/>
        <v>-124.89999999999995</v>
      </c>
      <c r="L150" s="18">
        <f>H150-D150</f>
        <v>0</v>
      </c>
      <c r="M150" s="18"/>
      <c r="N150" s="18">
        <f t="shared" si="88"/>
        <v>68.735919899874858</v>
      </c>
      <c r="O150" s="18">
        <f t="shared" ref="O150:Q204" si="92">G150/C150*100</f>
        <v>56.556521739130439</v>
      </c>
      <c r="P150" s="18">
        <f t="shared" si="92"/>
        <v>100</v>
      </c>
      <c r="Q150" s="18"/>
    </row>
    <row r="151" spans="1:17" x14ac:dyDescent="0.25">
      <c r="A151" s="14" t="s">
        <v>1</v>
      </c>
      <c r="B151" s="15">
        <f t="shared" si="89"/>
        <v>399.49999999999994</v>
      </c>
      <c r="C151" s="22">
        <f>C153</f>
        <v>287.49999999999994</v>
      </c>
      <c r="D151" s="22">
        <f t="shared" ref="D151:H151" si="93">D153</f>
        <v>112</v>
      </c>
      <c r="E151" s="22"/>
      <c r="F151" s="17">
        <f t="shared" si="90"/>
        <v>274.60000000000002</v>
      </c>
      <c r="G151" s="23">
        <f t="shared" si="93"/>
        <v>162.6</v>
      </c>
      <c r="H151" s="23">
        <f t="shared" si="93"/>
        <v>112</v>
      </c>
      <c r="I151" s="23"/>
      <c r="J151" s="18">
        <f t="shared" si="85"/>
        <v>-124.89999999999992</v>
      </c>
      <c r="K151" s="18">
        <f t="shared" si="86"/>
        <v>-124.89999999999995</v>
      </c>
      <c r="L151" s="18">
        <f>H151-D151</f>
        <v>0</v>
      </c>
      <c r="M151" s="18"/>
      <c r="N151" s="18">
        <f t="shared" si="88"/>
        <v>68.735919899874858</v>
      </c>
      <c r="O151" s="18">
        <f t="shared" si="92"/>
        <v>56.556521739130439</v>
      </c>
      <c r="P151" s="18">
        <f t="shared" si="92"/>
        <v>100</v>
      </c>
      <c r="Q151" s="18"/>
    </row>
    <row r="152" spans="1:17" x14ac:dyDescent="0.25">
      <c r="A152" s="14" t="s">
        <v>0</v>
      </c>
      <c r="B152" s="15"/>
      <c r="C152" s="22"/>
      <c r="D152" s="22"/>
      <c r="E152" s="22"/>
      <c r="F152" s="17"/>
      <c r="G152" s="21"/>
      <c r="H152" s="21"/>
      <c r="I152" s="21"/>
      <c r="J152" s="18"/>
      <c r="K152" s="18"/>
      <c r="L152" s="18"/>
      <c r="M152" s="18"/>
      <c r="N152" s="18"/>
      <c r="O152" s="18"/>
      <c r="P152" s="18"/>
      <c r="Q152" s="18"/>
    </row>
    <row r="153" spans="1:17" x14ac:dyDescent="0.25">
      <c r="A153" s="24" t="s">
        <v>38</v>
      </c>
      <c r="B153" s="15">
        <f t="shared" si="89"/>
        <v>399.49999999999994</v>
      </c>
      <c r="C153" s="20">
        <f>129.7+127.6+30.2</f>
        <v>287.49999999999994</v>
      </c>
      <c r="D153" s="20">
        <f>16+96</f>
        <v>112</v>
      </c>
      <c r="E153" s="20"/>
      <c r="F153" s="17">
        <f t="shared" si="90"/>
        <v>274.60000000000002</v>
      </c>
      <c r="G153" s="21">
        <v>162.6</v>
      </c>
      <c r="H153" s="21">
        <v>112</v>
      </c>
      <c r="I153" s="21"/>
      <c r="J153" s="18">
        <f t="shared" si="85"/>
        <v>-124.89999999999992</v>
      </c>
      <c r="K153" s="18">
        <f t="shared" si="86"/>
        <v>-124.89999999999995</v>
      </c>
      <c r="L153" s="18">
        <f>H153-D153</f>
        <v>0</v>
      </c>
      <c r="M153" s="18"/>
      <c r="N153" s="18">
        <f t="shared" si="88"/>
        <v>68.735919899874858</v>
      </c>
      <c r="O153" s="18">
        <f t="shared" si="92"/>
        <v>56.556521739130439</v>
      </c>
      <c r="P153" s="18">
        <f t="shared" si="92"/>
        <v>100</v>
      </c>
      <c r="Q153" s="18"/>
    </row>
    <row r="154" spans="1:17" x14ac:dyDescent="0.25">
      <c r="A154" s="24"/>
      <c r="B154" s="15"/>
      <c r="C154" s="20"/>
      <c r="D154" s="20"/>
      <c r="E154" s="20"/>
      <c r="F154" s="17"/>
      <c r="G154" s="21"/>
      <c r="H154" s="21"/>
      <c r="I154" s="21"/>
      <c r="J154" s="18"/>
      <c r="K154" s="18"/>
      <c r="L154" s="18"/>
      <c r="M154" s="18"/>
      <c r="N154" s="18"/>
      <c r="O154" s="18"/>
      <c r="P154" s="18"/>
      <c r="Q154" s="18"/>
    </row>
    <row r="155" spans="1:17" x14ac:dyDescent="0.25">
      <c r="A155" s="14" t="s">
        <v>69</v>
      </c>
      <c r="B155" s="15">
        <f t="shared" si="89"/>
        <v>993</v>
      </c>
      <c r="C155" s="22">
        <f>C156+C157</f>
        <v>449</v>
      </c>
      <c r="D155" s="22">
        <f t="shared" ref="D155:H155" si="94">D156+D157</f>
        <v>544</v>
      </c>
      <c r="E155" s="22"/>
      <c r="F155" s="17">
        <f t="shared" si="90"/>
        <v>947.9</v>
      </c>
      <c r="G155" s="23">
        <f t="shared" si="94"/>
        <v>403.9</v>
      </c>
      <c r="H155" s="23">
        <f t="shared" si="94"/>
        <v>544</v>
      </c>
      <c r="I155" s="23"/>
      <c r="J155" s="18">
        <f t="shared" si="85"/>
        <v>-45.100000000000023</v>
      </c>
      <c r="K155" s="18">
        <f t="shared" si="86"/>
        <v>-45.100000000000023</v>
      </c>
      <c r="L155" s="18">
        <f>H155-D155</f>
        <v>0</v>
      </c>
      <c r="M155" s="18"/>
      <c r="N155" s="18">
        <f t="shared" si="88"/>
        <v>95.458207452165155</v>
      </c>
      <c r="O155" s="18">
        <f t="shared" si="92"/>
        <v>89.955456570155903</v>
      </c>
      <c r="P155" s="18">
        <f t="shared" si="92"/>
        <v>100</v>
      </c>
      <c r="Q155" s="18"/>
    </row>
    <row r="156" spans="1:17" x14ac:dyDescent="0.25">
      <c r="A156" s="14" t="s">
        <v>1</v>
      </c>
      <c r="B156" s="15">
        <f t="shared" si="89"/>
        <v>993</v>
      </c>
      <c r="C156" s="22">
        <f>C158</f>
        <v>449</v>
      </c>
      <c r="D156" s="22">
        <f t="shared" ref="D156:H156" si="95">D158</f>
        <v>544</v>
      </c>
      <c r="E156" s="22"/>
      <c r="F156" s="17">
        <f t="shared" si="90"/>
        <v>947.9</v>
      </c>
      <c r="G156" s="23">
        <f t="shared" si="95"/>
        <v>403.9</v>
      </c>
      <c r="H156" s="23">
        <f t="shared" si="95"/>
        <v>544</v>
      </c>
      <c r="I156" s="23"/>
      <c r="J156" s="18">
        <f t="shared" si="85"/>
        <v>-45.100000000000023</v>
      </c>
      <c r="K156" s="18">
        <f t="shared" si="86"/>
        <v>-45.100000000000023</v>
      </c>
      <c r="L156" s="18">
        <f>H156-D156</f>
        <v>0</v>
      </c>
      <c r="M156" s="18"/>
      <c r="N156" s="18">
        <f t="shared" si="88"/>
        <v>95.458207452165155</v>
      </c>
      <c r="O156" s="18">
        <f t="shared" si="92"/>
        <v>89.955456570155903</v>
      </c>
      <c r="P156" s="18">
        <f t="shared" si="92"/>
        <v>100</v>
      </c>
      <c r="Q156" s="18"/>
    </row>
    <row r="157" spans="1:17" x14ac:dyDescent="0.25">
      <c r="A157" s="14" t="s">
        <v>0</v>
      </c>
      <c r="B157" s="15"/>
      <c r="C157" s="22"/>
      <c r="D157" s="22"/>
      <c r="E157" s="22"/>
      <c r="F157" s="17"/>
      <c r="G157" s="21"/>
      <c r="H157" s="21"/>
      <c r="I157" s="21"/>
      <c r="J157" s="18"/>
      <c r="K157" s="18"/>
      <c r="L157" s="18"/>
      <c r="M157" s="18"/>
      <c r="N157" s="18"/>
      <c r="O157" s="18"/>
      <c r="P157" s="18"/>
      <c r="Q157" s="18"/>
    </row>
    <row r="158" spans="1:17" x14ac:dyDescent="0.25">
      <c r="A158" s="24" t="s">
        <v>38</v>
      </c>
      <c r="B158" s="15">
        <f t="shared" si="89"/>
        <v>993</v>
      </c>
      <c r="C158" s="20">
        <f>117+15.1+175.1+51.8+45+45</f>
        <v>449</v>
      </c>
      <c r="D158" s="20">
        <f>256+288</f>
        <v>544</v>
      </c>
      <c r="E158" s="20"/>
      <c r="F158" s="17">
        <f t="shared" si="90"/>
        <v>947.9</v>
      </c>
      <c r="G158" s="21">
        <v>403.9</v>
      </c>
      <c r="H158" s="21">
        <v>544</v>
      </c>
      <c r="I158" s="21"/>
      <c r="J158" s="18">
        <f t="shared" si="85"/>
        <v>-45.100000000000023</v>
      </c>
      <c r="K158" s="18">
        <f t="shared" si="86"/>
        <v>-45.100000000000023</v>
      </c>
      <c r="L158" s="18">
        <f>H158-D158</f>
        <v>0</v>
      </c>
      <c r="M158" s="18"/>
      <c r="N158" s="18">
        <f t="shared" si="88"/>
        <v>95.458207452165155</v>
      </c>
      <c r="O158" s="18">
        <f t="shared" si="92"/>
        <v>89.955456570155903</v>
      </c>
      <c r="P158" s="18">
        <f t="shared" si="92"/>
        <v>100</v>
      </c>
      <c r="Q158" s="18"/>
    </row>
    <row r="159" spans="1:17" x14ac:dyDescent="0.25">
      <c r="A159" s="24"/>
      <c r="B159" s="15"/>
      <c r="C159" s="20"/>
      <c r="D159" s="20"/>
      <c r="E159" s="20"/>
      <c r="F159" s="17"/>
      <c r="G159" s="21"/>
      <c r="H159" s="21"/>
      <c r="I159" s="21"/>
      <c r="J159" s="18"/>
      <c r="K159" s="18"/>
      <c r="L159" s="18"/>
      <c r="M159" s="18"/>
      <c r="N159" s="18"/>
      <c r="O159" s="18"/>
      <c r="P159" s="18"/>
      <c r="Q159" s="18"/>
    </row>
    <row r="160" spans="1:17" x14ac:dyDescent="0.25">
      <c r="A160" s="14" t="s">
        <v>70</v>
      </c>
      <c r="B160" s="15">
        <f t="shared" ref="B160:B168" si="96">SUM(C160:E160)</f>
        <v>1199.7</v>
      </c>
      <c r="C160" s="22">
        <f>C161+C162</f>
        <v>303.7</v>
      </c>
      <c r="D160" s="22">
        <f t="shared" ref="D160:H160" si="97">D161+D162</f>
        <v>896</v>
      </c>
      <c r="E160" s="22"/>
      <c r="F160" s="17">
        <f t="shared" ref="F160:F168" si="98">SUM(G160:I160)</f>
        <v>1090.5999999999999</v>
      </c>
      <c r="G160" s="23">
        <f t="shared" si="97"/>
        <v>194.6</v>
      </c>
      <c r="H160" s="23">
        <f t="shared" si="97"/>
        <v>896</v>
      </c>
      <c r="I160" s="23"/>
      <c r="J160" s="18">
        <f t="shared" si="85"/>
        <v>-109.10000000000014</v>
      </c>
      <c r="K160" s="18">
        <f t="shared" si="86"/>
        <v>-109.1</v>
      </c>
      <c r="L160" s="18">
        <f>H160-D160</f>
        <v>0</v>
      </c>
      <c r="M160" s="18"/>
      <c r="N160" s="18">
        <f t="shared" si="88"/>
        <v>90.906059848295399</v>
      </c>
      <c r="O160" s="18">
        <f t="shared" si="92"/>
        <v>64.076391175502152</v>
      </c>
      <c r="P160" s="18">
        <f t="shared" si="92"/>
        <v>100</v>
      </c>
      <c r="Q160" s="18"/>
    </row>
    <row r="161" spans="1:17" x14ac:dyDescent="0.25">
      <c r="A161" s="14" t="s">
        <v>1</v>
      </c>
      <c r="B161" s="15">
        <f t="shared" si="96"/>
        <v>1199.7</v>
      </c>
      <c r="C161" s="22">
        <f>C163</f>
        <v>303.7</v>
      </c>
      <c r="D161" s="22">
        <f t="shared" ref="D161:H161" si="99">D163</f>
        <v>896</v>
      </c>
      <c r="E161" s="22"/>
      <c r="F161" s="17">
        <f t="shared" si="98"/>
        <v>1090.5999999999999</v>
      </c>
      <c r="G161" s="23">
        <f t="shared" si="99"/>
        <v>194.6</v>
      </c>
      <c r="H161" s="23">
        <f t="shared" si="99"/>
        <v>896</v>
      </c>
      <c r="I161" s="23"/>
      <c r="J161" s="18">
        <f t="shared" si="85"/>
        <v>-109.10000000000014</v>
      </c>
      <c r="K161" s="18">
        <f t="shared" si="86"/>
        <v>-109.1</v>
      </c>
      <c r="L161" s="18">
        <f>H161-D161</f>
        <v>0</v>
      </c>
      <c r="M161" s="18"/>
      <c r="N161" s="18">
        <f t="shared" si="88"/>
        <v>90.906059848295399</v>
      </c>
      <c r="O161" s="18">
        <f t="shared" si="92"/>
        <v>64.076391175502152</v>
      </c>
      <c r="P161" s="18">
        <f t="shared" si="92"/>
        <v>100</v>
      </c>
      <c r="Q161" s="18"/>
    </row>
    <row r="162" spans="1:17" x14ac:dyDescent="0.25">
      <c r="A162" s="14" t="s">
        <v>0</v>
      </c>
      <c r="B162" s="15"/>
      <c r="C162" s="22"/>
      <c r="D162" s="22"/>
      <c r="E162" s="22"/>
      <c r="F162" s="17"/>
      <c r="G162" s="21"/>
      <c r="H162" s="21"/>
      <c r="I162" s="21"/>
      <c r="J162" s="18"/>
      <c r="K162" s="18"/>
      <c r="L162" s="18"/>
      <c r="M162" s="18"/>
      <c r="N162" s="18"/>
      <c r="O162" s="18"/>
      <c r="P162" s="18"/>
      <c r="Q162" s="18"/>
    </row>
    <row r="163" spans="1:17" x14ac:dyDescent="0.25">
      <c r="A163" s="24" t="s">
        <v>38</v>
      </c>
      <c r="B163" s="15">
        <f t="shared" si="96"/>
        <v>1199.7</v>
      </c>
      <c r="C163" s="20">
        <f>303.7</f>
        <v>303.7</v>
      </c>
      <c r="D163" s="20">
        <f>160+736</f>
        <v>896</v>
      </c>
      <c r="E163" s="20"/>
      <c r="F163" s="17">
        <f t="shared" si="98"/>
        <v>1090.5999999999999</v>
      </c>
      <c r="G163" s="21">
        <v>194.6</v>
      </c>
      <c r="H163" s="21">
        <v>896</v>
      </c>
      <c r="I163" s="21"/>
      <c r="J163" s="18"/>
      <c r="K163" s="18">
        <f t="shared" si="86"/>
        <v>-109.1</v>
      </c>
      <c r="L163" s="18">
        <f>H163-D163</f>
        <v>0</v>
      </c>
      <c r="M163" s="18"/>
      <c r="N163" s="18">
        <f t="shared" si="88"/>
        <v>90.906059848295399</v>
      </c>
      <c r="O163" s="18">
        <f t="shared" si="92"/>
        <v>64.076391175502152</v>
      </c>
      <c r="P163" s="18">
        <f t="shared" si="92"/>
        <v>100</v>
      </c>
      <c r="Q163" s="18"/>
    </row>
    <row r="164" spans="1:17" x14ac:dyDescent="0.25">
      <c r="A164" s="24"/>
      <c r="B164" s="15"/>
      <c r="C164" s="20"/>
      <c r="D164" s="20"/>
      <c r="E164" s="20"/>
      <c r="F164" s="17"/>
      <c r="G164" s="21"/>
      <c r="H164" s="21"/>
      <c r="I164" s="21"/>
      <c r="J164" s="18"/>
      <c r="K164" s="18"/>
      <c r="L164" s="18"/>
      <c r="M164" s="18"/>
      <c r="N164" s="18"/>
      <c r="O164" s="18"/>
      <c r="P164" s="18"/>
      <c r="Q164" s="18"/>
    </row>
    <row r="165" spans="1:17" x14ac:dyDescent="0.25">
      <c r="A165" s="14" t="s">
        <v>71</v>
      </c>
      <c r="B165" s="15">
        <f t="shared" si="96"/>
        <v>2577.6999999999998</v>
      </c>
      <c r="C165" s="22">
        <f>C166+C167</f>
        <v>1073.3999999999999</v>
      </c>
      <c r="D165" s="22">
        <f t="shared" ref="D165:H165" si="100">D166+D167</f>
        <v>1408</v>
      </c>
      <c r="E165" s="22">
        <f t="shared" si="100"/>
        <v>96.3</v>
      </c>
      <c r="F165" s="17">
        <f t="shared" si="98"/>
        <v>2552.6000000000004</v>
      </c>
      <c r="G165" s="23">
        <f t="shared" si="100"/>
        <v>1048.3</v>
      </c>
      <c r="H165" s="23">
        <f t="shared" si="100"/>
        <v>1408</v>
      </c>
      <c r="I165" s="23">
        <f>I166+I167</f>
        <v>96.3</v>
      </c>
      <c r="J165" s="18">
        <f t="shared" si="85"/>
        <v>-25.099999999999454</v>
      </c>
      <c r="K165" s="18">
        <f t="shared" si="86"/>
        <v>-25.099999999999909</v>
      </c>
      <c r="L165" s="18">
        <f>H165-D165</f>
        <v>0</v>
      </c>
      <c r="M165" s="18"/>
      <c r="N165" s="18">
        <f t="shared" si="88"/>
        <v>99.026263723474443</v>
      </c>
      <c r="O165" s="18">
        <f t="shared" si="92"/>
        <v>97.661635923234584</v>
      </c>
      <c r="P165" s="18">
        <f t="shared" si="92"/>
        <v>100</v>
      </c>
      <c r="Q165" s="18">
        <f t="shared" si="92"/>
        <v>100</v>
      </c>
    </row>
    <row r="166" spans="1:17" x14ac:dyDescent="0.25">
      <c r="A166" s="14" t="s">
        <v>1</v>
      </c>
      <c r="B166" s="15">
        <f t="shared" si="96"/>
        <v>2481.3999999999996</v>
      </c>
      <c r="C166" s="22">
        <f>C168</f>
        <v>1073.3999999999999</v>
      </c>
      <c r="D166" s="22">
        <f t="shared" ref="D166:H166" si="101">D168</f>
        <v>1408</v>
      </c>
      <c r="E166" s="22"/>
      <c r="F166" s="17">
        <f t="shared" si="98"/>
        <v>2456.3000000000002</v>
      </c>
      <c r="G166" s="23">
        <f t="shared" si="101"/>
        <v>1048.3</v>
      </c>
      <c r="H166" s="23">
        <f t="shared" si="101"/>
        <v>1408</v>
      </c>
      <c r="I166" s="23"/>
      <c r="J166" s="18">
        <f t="shared" si="85"/>
        <v>-25.099999999999454</v>
      </c>
      <c r="K166" s="18">
        <f t="shared" si="86"/>
        <v>-25.099999999999909</v>
      </c>
      <c r="L166" s="18">
        <f>H166-D166</f>
        <v>0</v>
      </c>
      <c r="M166" s="18"/>
      <c r="N166" s="18">
        <f t="shared" si="88"/>
        <v>98.988474248408181</v>
      </c>
      <c r="O166" s="18">
        <f t="shared" si="92"/>
        <v>97.661635923234584</v>
      </c>
      <c r="P166" s="18">
        <f t="shared" si="92"/>
        <v>100</v>
      </c>
      <c r="Q166" s="18"/>
    </row>
    <row r="167" spans="1:17" x14ac:dyDescent="0.25">
      <c r="A167" s="14" t="s">
        <v>0</v>
      </c>
      <c r="B167" s="15">
        <f t="shared" si="96"/>
        <v>96.3</v>
      </c>
      <c r="C167" s="22"/>
      <c r="D167" s="22"/>
      <c r="E167" s="22">
        <f>E169</f>
        <v>96.3</v>
      </c>
      <c r="F167" s="17">
        <f t="shared" si="98"/>
        <v>96.3</v>
      </c>
      <c r="G167" s="23">
        <f>G169</f>
        <v>0</v>
      </c>
      <c r="H167" s="23"/>
      <c r="I167" s="23">
        <f>I169</f>
        <v>96.3</v>
      </c>
      <c r="J167" s="18"/>
      <c r="K167" s="18">
        <f t="shared" si="86"/>
        <v>0</v>
      </c>
      <c r="L167" s="18"/>
      <c r="M167" s="18"/>
      <c r="N167" s="18">
        <f t="shared" si="88"/>
        <v>100</v>
      </c>
      <c r="O167" s="18"/>
      <c r="P167" s="18"/>
      <c r="Q167" s="18">
        <f t="shared" si="92"/>
        <v>100</v>
      </c>
    </row>
    <row r="168" spans="1:17" x14ac:dyDescent="0.25">
      <c r="A168" s="24" t="s">
        <v>38</v>
      </c>
      <c r="B168" s="15">
        <f t="shared" si="96"/>
        <v>2481.3999999999996</v>
      </c>
      <c r="C168" s="20">
        <f>308.3+95.3+97.5+166.7+135.8+120+125+24.8</f>
        <v>1073.3999999999999</v>
      </c>
      <c r="D168" s="20">
        <f>400+1008</f>
        <v>1408</v>
      </c>
      <c r="E168" s="20"/>
      <c r="F168" s="17">
        <f t="shared" si="98"/>
        <v>2456.3000000000002</v>
      </c>
      <c r="G168" s="21">
        <v>1048.3</v>
      </c>
      <c r="H168" s="21">
        <v>1408</v>
      </c>
      <c r="I168" s="21"/>
      <c r="J168" s="18">
        <f t="shared" si="85"/>
        <v>-25.099999999999454</v>
      </c>
      <c r="K168" s="18">
        <f>G168-C168</f>
        <v>-25.099999999999909</v>
      </c>
      <c r="L168" s="18">
        <f>H168-D168</f>
        <v>0</v>
      </c>
      <c r="M168" s="18"/>
      <c r="N168" s="18">
        <f t="shared" si="88"/>
        <v>98.988474248408181</v>
      </c>
      <c r="O168" s="18">
        <f t="shared" si="92"/>
        <v>97.661635923234584</v>
      </c>
      <c r="P168" s="18">
        <f t="shared" si="92"/>
        <v>100</v>
      </c>
      <c r="Q168" s="18"/>
    </row>
    <row r="169" spans="1:17" x14ac:dyDescent="0.25">
      <c r="A169" s="24" t="s">
        <v>72</v>
      </c>
      <c r="B169" s="15">
        <f t="shared" ref="B169:B179" si="102">SUM(C169:E169)</f>
        <v>96.3</v>
      </c>
      <c r="C169" s="20"/>
      <c r="D169" s="20"/>
      <c r="E169" s="20">
        <v>96.3</v>
      </c>
      <c r="F169" s="17">
        <f t="shared" ref="F169:F179" si="103">SUM(G169:I169)</f>
        <v>96.3</v>
      </c>
      <c r="G169" s="21"/>
      <c r="H169" s="21"/>
      <c r="I169" s="21">
        <v>96.3</v>
      </c>
      <c r="J169" s="18">
        <f>F169-B169</f>
        <v>0</v>
      </c>
      <c r="K169" s="18">
        <f t="shared" si="86"/>
        <v>0</v>
      </c>
      <c r="L169" s="18"/>
      <c r="M169" s="18"/>
      <c r="N169" s="18">
        <f t="shared" si="88"/>
        <v>100</v>
      </c>
      <c r="O169" s="18"/>
      <c r="P169" s="18"/>
      <c r="Q169" s="18">
        <f t="shared" si="92"/>
        <v>100</v>
      </c>
    </row>
    <row r="170" spans="1:17" x14ac:dyDescent="0.25">
      <c r="A170" s="24"/>
      <c r="B170" s="15"/>
      <c r="C170" s="20"/>
      <c r="D170" s="20"/>
      <c r="E170" s="20"/>
      <c r="F170" s="17"/>
      <c r="G170" s="21"/>
      <c r="H170" s="21"/>
      <c r="I170" s="21"/>
      <c r="J170" s="18"/>
      <c r="K170" s="18"/>
      <c r="L170" s="18"/>
      <c r="M170" s="18"/>
      <c r="N170" s="18"/>
      <c r="O170" s="18"/>
      <c r="P170" s="18"/>
      <c r="Q170" s="18"/>
    </row>
    <row r="171" spans="1:17" x14ac:dyDescent="0.25">
      <c r="A171" s="14" t="s">
        <v>73</v>
      </c>
      <c r="B171" s="15">
        <f t="shared" si="102"/>
        <v>2360.5</v>
      </c>
      <c r="C171" s="22">
        <f>C172+C173</f>
        <v>1576.5</v>
      </c>
      <c r="D171" s="22">
        <f t="shared" ref="D171:H171" si="104">D172+D173</f>
        <v>784</v>
      </c>
      <c r="E171" s="22"/>
      <c r="F171" s="17">
        <f t="shared" si="103"/>
        <v>1635.2</v>
      </c>
      <c r="G171" s="23">
        <f t="shared" si="104"/>
        <v>1075.2</v>
      </c>
      <c r="H171" s="23">
        <f t="shared" si="104"/>
        <v>560</v>
      </c>
      <c r="I171" s="23"/>
      <c r="J171" s="18">
        <f t="shared" si="85"/>
        <v>-725.3</v>
      </c>
      <c r="K171" s="18">
        <f t="shared" si="86"/>
        <v>-501.29999999999995</v>
      </c>
      <c r="L171" s="18">
        <f t="shared" si="86"/>
        <v>-224</v>
      </c>
      <c r="M171" s="18"/>
      <c r="N171" s="18">
        <f t="shared" si="88"/>
        <v>69.273459012920995</v>
      </c>
      <c r="O171" s="18">
        <f t="shared" si="92"/>
        <v>68.201712654614653</v>
      </c>
      <c r="P171" s="18">
        <f t="shared" si="92"/>
        <v>71.428571428571431</v>
      </c>
      <c r="Q171" s="18"/>
    </row>
    <row r="172" spans="1:17" x14ac:dyDescent="0.25">
      <c r="A172" s="14" t="s">
        <v>1</v>
      </c>
      <c r="B172" s="15">
        <f t="shared" si="102"/>
        <v>2182.3000000000002</v>
      </c>
      <c r="C172" s="22">
        <f>C174</f>
        <v>1398.3</v>
      </c>
      <c r="D172" s="22">
        <f t="shared" ref="D172:H172" si="105">D174</f>
        <v>784</v>
      </c>
      <c r="E172" s="22"/>
      <c r="F172" s="17">
        <f t="shared" si="103"/>
        <v>1477.3</v>
      </c>
      <c r="G172" s="23">
        <f t="shared" si="105"/>
        <v>917.3</v>
      </c>
      <c r="H172" s="23">
        <f t="shared" si="105"/>
        <v>560</v>
      </c>
      <c r="I172" s="23"/>
      <c r="J172" s="18">
        <f t="shared" si="85"/>
        <v>-705.00000000000023</v>
      </c>
      <c r="K172" s="18">
        <f t="shared" si="86"/>
        <v>-481</v>
      </c>
      <c r="L172" s="18">
        <f t="shared" si="86"/>
        <v>-224</v>
      </c>
      <c r="M172" s="18"/>
      <c r="N172" s="18">
        <f t="shared" si="88"/>
        <v>67.69463410163587</v>
      </c>
      <c r="O172" s="18">
        <f t="shared" si="92"/>
        <v>65.601087034255883</v>
      </c>
      <c r="P172" s="18">
        <f t="shared" si="92"/>
        <v>71.428571428571431</v>
      </c>
      <c r="Q172" s="18"/>
    </row>
    <row r="173" spans="1:17" x14ac:dyDescent="0.25">
      <c r="A173" s="14" t="s">
        <v>0</v>
      </c>
      <c r="B173" s="15">
        <f t="shared" si="102"/>
        <v>178.2</v>
      </c>
      <c r="C173" s="22">
        <f>C175</f>
        <v>178.2</v>
      </c>
      <c r="D173" s="22"/>
      <c r="E173" s="22"/>
      <c r="F173" s="17">
        <f t="shared" si="103"/>
        <v>157.9</v>
      </c>
      <c r="G173" s="23">
        <f>G175</f>
        <v>157.9</v>
      </c>
      <c r="H173" s="23"/>
      <c r="I173" s="23"/>
      <c r="J173" s="18">
        <f t="shared" si="85"/>
        <v>-20.299999999999983</v>
      </c>
      <c r="K173" s="18">
        <f t="shared" si="86"/>
        <v>-20.299999999999983</v>
      </c>
      <c r="L173" s="18"/>
      <c r="M173" s="18"/>
      <c r="N173" s="18">
        <f t="shared" si="88"/>
        <v>88.608305274971954</v>
      </c>
      <c r="O173" s="18">
        <f t="shared" si="92"/>
        <v>88.608305274971954</v>
      </c>
      <c r="P173" s="18"/>
      <c r="Q173" s="18"/>
    </row>
    <row r="174" spans="1:17" x14ac:dyDescent="0.25">
      <c r="A174" s="24" t="s">
        <v>38</v>
      </c>
      <c r="B174" s="15">
        <f t="shared" si="102"/>
        <v>2182.3000000000002</v>
      </c>
      <c r="C174" s="20">
        <f>1011.4+121.1+265.8</f>
        <v>1398.3</v>
      </c>
      <c r="D174" s="20">
        <f>48+736</f>
        <v>784</v>
      </c>
      <c r="E174" s="20"/>
      <c r="F174" s="17">
        <f t="shared" si="103"/>
        <v>1477.3</v>
      </c>
      <c r="G174" s="21">
        <v>917.3</v>
      </c>
      <c r="H174" s="21">
        <v>560</v>
      </c>
      <c r="I174" s="21"/>
      <c r="J174" s="18">
        <f t="shared" si="85"/>
        <v>-705.00000000000023</v>
      </c>
      <c r="K174" s="18">
        <f t="shared" si="86"/>
        <v>-481</v>
      </c>
      <c r="L174" s="18">
        <f t="shared" si="86"/>
        <v>-224</v>
      </c>
      <c r="M174" s="18"/>
      <c r="N174" s="18">
        <f t="shared" si="88"/>
        <v>67.69463410163587</v>
      </c>
      <c r="O174" s="18">
        <f t="shared" si="92"/>
        <v>65.601087034255883</v>
      </c>
      <c r="P174" s="18">
        <f t="shared" si="92"/>
        <v>71.428571428571431</v>
      </c>
      <c r="Q174" s="18"/>
    </row>
    <row r="175" spans="1:17" x14ac:dyDescent="0.25">
      <c r="A175" s="24" t="s">
        <v>74</v>
      </c>
      <c r="B175" s="15">
        <f t="shared" si="102"/>
        <v>178.2</v>
      </c>
      <c r="C175" s="20">
        <f>79+27.5+33+38.7</f>
        <v>178.2</v>
      </c>
      <c r="D175" s="20"/>
      <c r="E175" s="20"/>
      <c r="F175" s="17">
        <f t="shared" si="103"/>
        <v>157.9</v>
      </c>
      <c r="G175" s="21">
        <v>157.9</v>
      </c>
      <c r="H175" s="21"/>
      <c r="I175" s="21"/>
      <c r="J175" s="18">
        <f t="shared" si="85"/>
        <v>-20.299999999999983</v>
      </c>
      <c r="K175" s="18">
        <f t="shared" si="86"/>
        <v>-20.299999999999983</v>
      </c>
      <c r="L175" s="18"/>
      <c r="M175" s="18"/>
      <c r="N175" s="18">
        <f t="shared" si="88"/>
        <v>88.608305274971954</v>
      </c>
      <c r="O175" s="18">
        <f t="shared" si="92"/>
        <v>88.608305274971954</v>
      </c>
      <c r="P175" s="18"/>
      <c r="Q175" s="18"/>
    </row>
    <row r="176" spans="1:17" x14ac:dyDescent="0.25">
      <c r="A176" s="24"/>
      <c r="B176" s="15"/>
      <c r="C176" s="20"/>
      <c r="D176" s="20"/>
      <c r="E176" s="20"/>
      <c r="F176" s="17"/>
      <c r="G176" s="21"/>
      <c r="H176" s="21"/>
      <c r="I176" s="21"/>
      <c r="J176" s="18"/>
      <c r="K176" s="18"/>
      <c r="L176" s="18"/>
      <c r="M176" s="18"/>
      <c r="N176" s="18"/>
      <c r="O176" s="18"/>
      <c r="P176" s="18"/>
      <c r="Q176" s="18"/>
    </row>
    <row r="177" spans="1:17" x14ac:dyDescent="0.25">
      <c r="A177" s="14" t="s">
        <v>75</v>
      </c>
      <c r="B177" s="15">
        <f t="shared" si="102"/>
        <v>1024.9000000000001</v>
      </c>
      <c r="C177" s="22">
        <f>C178+C179</f>
        <v>306.2</v>
      </c>
      <c r="D177" s="22">
        <f t="shared" ref="D177:I177" si="106">D178+D179</f>
        <v>480</v>
      </c>
      <c r="E177" s="22">
        <f t="shared" si="106"/>
        <v>238.7</v>
      </c>
      <c r="F177" s="17">
        <f t="shared" si="103"/>
        <v>979.40000000000009</v>
      </c>
      <c r="G177" s="23">
        <f t="shared" si="106"/>
        <v>260.7</v>
      </c>
      <c r="H177" s="23">
        <f t="shared" si="106"/>
        <v>480</v>
      </c>
      <c r="I177" s="23">
        <f t="shared" si="106"/>
        <v>238.7</v>
      </c>
      <c r="J177" s="18">
        <f t="shared" si="85"/>
        <v>-45.5</v>
      </c>
      <c r="K177" s="18">
        <f t="shared" si="86"/>
        <v>-45.5</v>
      </c>
      <c r="L177" s="18">
        <f>H177-D177</f>
        <v>0</v>
      </c>
      <c r="M177" s="18"/>
      <c r="N177" s="18">
        <f t="shared" si="88"/>
        <v>95.560542491950443</v>
      </c>
      <c r="O177" s="18">
        <f t="shared" si="92"/>
        <v>85.140431090790329</v>
      </c>
      <c r="P177" s="18">
        <f t="shared" si="92"/>
        <v>100</v>
      </c>
      <c r="Q177" s="18">
        <f t="shared" si="92"/>
        <v>100</v>
      </c>
    </row>
    <row r="178" spans="1:17" x14ac:dyDescent="0.25">
      <c r="A178" s="14" t="s">
        <v>1</v>
      </c>
      <c r="B178" s="15">
        <f t="shared" si="102"/>
        <v>786.2</v>
      </c>
      <c r="C178" s="22">
        <f>C180</f>
        <v>306.2</v>
      </c>
      <c r="D178" s="22">
        <f t="shared" ref="D178:H178" si="107">D180</f>
        <v>480</v>
      </c>
      <c r="E178" s="22"/>
      <c r="F178" s="17">
        <f t="shared" si="103"/>
        <v>740.7</v>
      </c>
      <c r="G178" s="23">
        <f t="shared" si="107"/>
        <v>260.7</v>
      </c>
      <c r="H178" s="23">
        <f t="shared" si="107"/>
        <v>480</v>
      </c>
      <c r="I178" s="23"/>
      <c r="J178" s="18">
        <f t="shared" si="85"/>
        <v>-45.5</v>
      </c>
      <c r="K178" s="18">
        <f t="shared" si="86"/>
        <v>-45.5</v>
      </c>
      <c r="L178" s="18">
        <f>H178-D178</f>
        <v>0</v>
      </c>
      <c r="M178" s="18"/>
      <c r="N178" s="18">
        <f t="shared" si="88"/>
        <v>94.212668532180118</v>
      </c>
      <c r="O178" s="18">
        <f t="shared" si="92"/>
        <v>85.140431090790329</v>
      </c>
      <c r="P178" s="18">
        <f t="shared" si="92"/>
        <v>100</v>
      </c>
      <c r="Q178" s="18"/>
    </row>
    <row r="179" spans="1:17" x14ac:dyDescent="0.25">
      <c r="A179" s="14" t="s">
        <v>0</v>
      </c>
      <c r="B179" s="15">
        <f t="shared" si="102"/>
        <v>238.7</v>
      </c>
      <c r="C179" s="22"/>
      <c r="D179" s="22"/>
      <c r="E179" s="22">
        <f>E181</f>
        <v>238.7</v>
      </c>
      <c r="F179" s="17">
        <f t="shared" si="103"/>
        <v>238.7</v>
      </c>
      <c r="G179" s="23">
        <f>G181</f>
        <v>0</v>
      </c>
      <c r="H179" s="23"/>
      <c r="I179" s="23">
        <f>I181</f>
        <v>238.7</v>
      </c>
      <c r="J179" s="18"/>
      <c r="K179" s="18">
        <f t="shared" si="86"/>
        <v>0</v>
      </c>
      <c r="L179" s="18"/>
      <c r="M179" s="18"/>
      <c r="N179" s="18">
        <f t="shared" si="88"/>
        <v>100</v>
      </c>
      <c r="O179" s="18"/>
      <c r="P179" s="18"/>
      <c r="Q179" s="18">
        <f>I179/E179*100</f>
        <v>100</v>
      </c>
    </row>
    <row r="180" spans="1:17" x14ac:dyDescent="0.25">
      <c r="A180" s="24" t="s">
        <v>38</v>
      </c>
      <c r="B180" s="15">
        <f t="shared" ref="B180:B192" si="108">SUM(C180:E180)</f>
        <v>786.2</v>
      </c>
      <c r="C180" s="20">
        <f>306.2</f>
        <v>306.2</v>
      </c>
      <c r="D180" s="20">
        <f>176+304</f>
        <v>480</v>
      </c>
      <c r="E180" s="20"/>
      <c r="F180" s="17">
        <f t="shared" ref="F180:F192" si="109">SUM(G180:I180)</f>
        <v>740.7</v>
      </c>
      <c r="G180" s="21">
        <v>260.7</v>
      </c>
      <c r="H180" s="21">
        <v>480</v>
      </c>
      <c r="I180" s="21"/>
      <c r="J180" s="18">
        <f t="shared" si="85"/>
        <v>-45.5</v>
      </c>
      <c r="K180" s="18">
        <f t="shared" si="86"/>
        <v>-45.5</v>
      </c>
      <c r="L180" s="18">
        <f>H180-D180</f>
        <v>0</v>
      </c>
      <c r="M180" s="18"/>
      <c r="N180" s="18">
        <f t="shared" si="88"/>
        <v>94.212668532180118</v>
      </c>
      <c r="O180" s="18">
        <f t="shared" si="92"/>
        <v>85.140431090790329</v>
      </c>
      <c r="P180" s="18">
        <f t="shared" si="92"/>
        <v>100</v>
      </c>
      <c r="Q180" s="18"/>
    </row>
    <row r="181" spans="1:17" x14ac:dyDescent="0.25">
      <c r="A181" s="24" t="s">
        <v>75</v>
      </c>
      <c r="B181" s="15">
        <f t="shared" si="108"/>
        <v>238.7</v>
      </c>
      <c r="C181" s="20"/>
      <c r="D181" s="20"/>
      <c r="E181" s="20">
        <v>238.7</v>
      </c>
      <c r="F181" s="17">
        <f t="shared" si="109"/>
        <v>238.7</v>
      </c>
      <c r="G181" s="21"/>
      <c r="H181" s="21"/>
      <c r="I181" s="21">
        <v>238.7</v>
      </c>
      <c r="J181" s="18">
        <f t="shared" si="85"/>
        <v>0</v>
      </c>
      <c r="K181" s="18">
        <f t="shared" si="86"/>
        <v>0</v>
      </c>
      <c r="L181" s="18"/>
      <c r="M181" s="18"/>
      <c r="N181" s="18">
        <f t="shared" si="88"/>
        <v>100</v>
      </c>
      <c r="O181" s="18"/>
      <c r="P181" s="18"/>
      <c r="Q181" s="18">
        <f>I181/E181*100</f>
        <v>100</v>
      </c>
    </row>
    <row r="182" spans="1:17" x14ac:dyDescent="0.25">
      <c r="A182" s="24"/>
      <c r="B182" s="15"/>
      <c r="C182" s="20"/>
      <c r="D182" s="20"/>
      <c r="E182" s="20"/>
      <c r="F182" s="17"/>
      <c r="G182" s="21"/>
      <c r="H182" s="21"/>
      <c r="I182" s="21"/>
      <c r="J182" s="18"/>
      <c r="K182" s="18"/>
      <c r="L182" s="18"/>
      <c r="M182" s="18"/>
      <c r="N182" s="18"/>
      <c r="O182" s="18"/>
      <c r="P182" s="18"/>
      <c r="Q182" s="18"/>
    </row>
    <row r="183" spans="1:17" x14ac:dyDescent="0.25">
      <c r="A183" s="14" t="s">
        <v>76</v>
      </c>
      <c r="B183" s="15">
        <f t="shared" si="108"/>
        <v>2395.6000000000004</v>
      </c>
      <c r="C183" s="22">
        <f>C184+C185</f>
        <v>1899.6000000000004</v>
      </c>
      <c r="D183" s="22">
        <f t="shared" ref="D183:H183" si="110">D184+D185</f>
        <v>496</v>
      </c>
      <c r="E183" s="22"/>
      <c r="F183" s="17">
        <f t="shared" si="109"/>
        <v>1993.5</v>
      </c>
      <c r="G183" s="23">
        <f t="shared" si="110"/>
        <v>1497.5</v>
      </c>
      <c r="H183" s="23">
        <f t="shared" si="110"/>
        <v>496</v>
      </c>
      <c r="I183" s="23"/>
      <c r="J183" s="18">
        <f t="shared" si="85"/>
        <v>-402.10000000000036</v>
      </c>
      <c r="K183" s="18">
        <f t="shared" si="86"/>
        <v>-402.10000000000036</v>
      </c>
      <c r="L183" s="18">
        <f>H183-D183</f>
        <v>0</v>
      </c>
      <c r="M183" s="18"/>
      <c r="N183" s="18">
        <f t="shared" si="88"/>
        <v>83.215060945065943</v>
      </c>
      <c r="O183" s="18">
        <f t="shared" si="92"/>
        <v>78.832385765424277</v>
      </c>
      <c r="P183" s="18">
        <f t="shared" si="92"/>
        <v>100</v>
      </c>
      <c r="Q183" s="18"/>
    </row>
    <row r="184" spans="1:17" x14ac:dyDescent="0.25">
      <c r="A184" s="14" t="s">
        <v>1</v>
      </c>
      <c r="B184" s="15">
        <f t="shared" si="108"/>
        <v>2283.9000000000005</v>
      </c>
      <c r="C184" s="22">
        <f>C186</f>
        <v>1787.9000000000003</v>
      </c>
      <c r="D184" s="22">
        <f t="shared" ref="D184:H184" si="111">D186</f>
        <v>496</v>
      </c>
      <c r="E184" s="22"/>
      <c r="F184" s="17">
        <f t="shared" si="109"/>
        <v>1993.5</v>
      </c>
      <c r="G184" s="23">
        <f t="shared" si="111"/>
        <v>1497.5</v>
      </c>
      <c r="H184" s="23">
        <f t="shared" si="111"/>
        <v>496</v>
      </c>
      <c r="I184" s="23"/>
      <c r="J184" s="18">
        <f t="shared" si="85"/>
        <v>-290.40000000000055</v>
      </c>
      <c r="K184" s="18">
        <f t="shared" si="86"/>
        <v>-290.40000000000032</v>
      </c>
      <c r="L184" s="18">
        <f>H184-D184</f>
        <v>0</v>
      </c>
      <c r="M184" s="18"/>
      <c r="N184" s="18">
        <f t="shared" si="88"/>
        <v>87.284907395244957</v>
      </c>
      <c r="O184" s="18">
        <f t="shared" si="92"/>
        <v>83.75748084344761</v>
      </c>
      <c r="P184" s="18">
        <f t="shared" si="92"/>
        <v>100</v>
      </c>
      <c r="Q184" s="18"/>
    </row>
    <row r="185" spans="1:17" x14ac:dyDescent="0.25">
      <c r="A185" s="14" t="s">
        <v>0</v>
      </c>
      <c r="B185" s="15">
        <f t="shared" si="108"/>
        <v>111.7</v>
      </c>
      <c r="C185" s="22">
        <f>C187</f>
        <v>111.7</v>
      </c>
      <c r="D185" s="22">
        <f>D187</f>
        <v>0</v>
      </c>
      <c r="E185" s="22"/>
      <c r="F185" s="17">
        <f t="shared" si="109"/>
        <v>0</v>
      </c>
      <c r="G185" s="23">
        <f>G187</f>
        <v>0</v>
      </c>
      <c r="H185" s="23">
        <f>H187</f>
        <v>0</v>
      </c>
      <c r="I185" s="23"/>
      <c r="J185" s="18">
        <f t="shared" si="85"/>
        <v>-111.7</v>
      </c>
      <c r="K185" s="18">
        <f t="shared" si="86"/>
        <v>-111.7</v>
      </c>
      <c r="L185" s="18">
        <f>H185-D185</f>
        <v>0</v>
      </c>
      <c r="M185" s="18"/>
      <c r="N185" s="18">
        <f t="shared" si="88"/>
        <v>0</v>
      </c>
      <c r="O185" s="18">
        <f t="shared" si="92"/>
        <v>0</v>
      </c>
      <c r="P185" s="18"/>
      <c r="Q185" s="18"/>
    </row>
    <row r="186" spans="1:17" x14ac:dyDescent="0.25">
      <c r="A186" s="24" t="s">
        <v>38</v>
      </c>
      <c r="B186" s="15">
        <f t="shared" si="108"/>
        <v>2283.9000000000005</v>
      </c>
      <c r="C186" s="20">
        <f>331.2+209.5+125.2+194.5+156.8+161.5+220.4+193.4+195.4</f>
        <v>1787.9000000000003</v>
      </c>
      <c r="D186" s="20">
        <f>112+384</f>
        <v>496</v>
      </c>
      <c r="E186" s="20"/>
      <c r="F186" s="17">
        <f t="shared" si="109"/>
        <v>1993.5</v>
      </c>
      <c r="G186" s="21">
        <v>1497.5</v>
      </c>
      <c r="H186" s="21">
        <v>496</v>
      </c>
      <c r="I186" s="21"/>
      <c r="J186" s="18">
        <f t="shared" si="85"/>
        <v>-290.40000000000055</v>
      </c>
      <c r="K186" s="18">
        <f t="shared" si="86"/>
        <v>-290.40000000000032</v>
      </c>
      <c r="L186" s="18">
        <f t="shared" si="86"/>
        <v>0</v>
      </c>
      <c r="M186" s="18"/>
      <c r="N186" s="18">
        <f t="shared" si="88"/>
        <v>87.284907395244957</v>
      </c>
      <c r="O186" s="18">
        <f t="shared" si="92"/>
        <v>83.75748084344761</v>
      </c>
      <c r="P186" s="18">
        <f t="shared" si="92"/>
        <v>100</v>
      </c>
      <c r="Q186" s="18"/>
    </row>
    <row r="187" spans="1:17" x14ac:dyDescent="0.25">
      <c r="A187" s="24" t="s">
        <v>77</v>
      </c>
      <c r="B187" s="15">
        <f t="shared" si="108"/>
        <v>111.7</v>
      </c>
      <c r="C187" s="20">
        <v>111.7</v>
      </c>
      <c r="D187" s="20"/>
      <c r="E187" s="20"/>
      <c r="F187" s="17">
        <f t="shared" si="109"/>
        <v>0</v>
      </c>
      <c r="G187" s="21">
        <v>0</v>
      </c>
      <c r="H187" s="21"/>
      <c r="I187" s="21"/>
      <c r="J187" s="18">
        <f t="shared" si="85"/>
        <v>-111.7</v>
      </c>
      <c r="K187" s="18">
        <f t="shared" si="86"/>
        <v>-111.7</v>
      </c>
      <c r="L187" s="18"/>
      <c r="M187" s="18"/>
      <c r="N187" s="18">
        <f t="shared" si="88"/>
        <v>0</v>
      </c>
      <c r="O187" s="18">
        <f t="shared" si="92"/>
        <v>0</v>
      </c>
      <c r="P187" s="18"/>
      <c r="Q187" s="18"/>
    </row>
    <row r="188" spans="1:17" x14ac:dyDescent="0.25">
      <c r="A188" s="24"/>
      <c r="B188" s="15"/>
      <c r="C188" s="20"/>
      <c r="D188" s="20"/>
      <c r="E188" s="20"/>
      <c r="F188" s="17"/>
      <c r="G188" s="21"/>
      <c r="H188" s="21"/>
      <c r="I188" s="21"/>
      <c r="J188" s="18"/>
      <c r="K188" s="18"/>
      <c r="L188" s="18"/>
      <c r="M188" s="18"/>
      <c r="N188" s="18"/>
      <c r="O188" s="18"/>
      <c r="P188" s="18"/>
      <c r="Q188" s="18"/>
    </row>
    <row r="189" spans="1:17" x14ac:dyDescent="0.25">
      <c r="A189" s="14" t="s">
        <v>45</v>
      </c>
      <c r="B189" s="15">
        <f t="shared" si="108"/>
        <v>1371</v>
      </c>
      <c r="C189" s="22">
        <f>C190+C191</f>
        <v>970.99999999999989</v>
      </c>
      <c r="D189" s="22">
        <f t="shared" ref="D189:H189" si="112">D190+D191</f>
        <v>400</v>
      </c>
      <c r="E189" s="22"/>
      <c r="F189" s="17">
        <f t="shared" si="109"/>
        <v>1336.6</v>
      </c>
      <c r="G189" s="23">
        <f t="shared" si="112"/>
        <v>936.6</v>
      </c>
      <c r="H189" s="23">
        <f t="shared" si="112"/>
        <v>400</v>
      </c>
      <c r="I189" s="23"/>
      <c r="J189" s="18">
        <f t="shared" si="85"/>
        <v>-34.400000000000091</v>
      </c>
      <c r="K189" s="18">
        <f t="shared" si="86"/>
        <v>-34.399999999999864</v>
      </c>
      <c r="L189" s="18">
        <f>H189-D189</f>
        <v>0</v>
      </c>
      <c r="M189" s="18"/>
      <c r="N189" s="18">
        <f t="shared" si="88"/>
        <v>97.490882567469001</v>
      </c>
      <c r="O189" s="18">
        <f t="shared" si="92"/>
        <v>96.457260556127721</v>
      </c>
      <c r="P189" s="18">
        <f t="shared" si="92"/>
        <v>100</v>
      </c>
      <c r="Q189" s="18"/>
    </row>
    <row r="190" spans="1:17" x14ac:dyDescent="0.25">
      <c r="A190" s="14" t="s">
        <v>1</v>
      </c>
      <c r="B190" s="15">
        <f t="shared" si="108"/>
        <v>1371</v>
      </c>
      <c r="C190" s="22">
        <f>C192</f>
        <v>970.99999999999989</v>
      </c>
      <c r="D190" s="22">
        <f t="shared" ref="D190:H190" si="113">D192</f>
        <v>400</v>
      </c>
      <c r="E190" s="22"/>
      <c r="F190" s="17">
        <f t="shared" si="109"/>
        <v>1336.6</v>
      </c>
      <c r="G190" s="23">
        <f t="shared" si="113"/>
        <v>936.6</v>
      </c>
      <c r="H190" s="23">
        <f t="shared" si="113"/>
        <v>400</v>
      </c>
      <c r="I190" s="23"/>
      <c r="J190" s="18">
        <f t="shared" si="85"/>
        <v>-34.400000000000091</v>
      </c>
      <c r="K190" s="18">
        <f t="shared" si="86"/>
        <v>-34.399999999999864</v>
      </c>
      <c r="L190" s="18">
        <f>H190-D190</f>
        <v>0</v>
      </c>
      <c r="M190" s="18"/>
      <c r="N190" s="18">
        <f t="shared" si="88"/>
        <v>97.490882567469001</v>
      </c>
      <c r="O190" s="18">
        <f t="shared" si="92"/>
        <v>96.457260556127721</v>
      </c>
      <c r="P190" s="18">
        <f t="shared" si="92"/>
        <v>100</v>
      </c>
      <c r="Q190" s="18"/>
    </row>
    <row r="191" spans="1:17" x14ac:dyDescent="0.25">
      <c r="A191" s="14" t="s">
        <v>0</v>
      </c>
      <c r="B191" s="15"/>
      <c r="C191" s="22"/>
      <c r="D191" s="22"/>
      <c r="E191" s="22"/>
      <c r="F191" s="17"/>
      <c r="G191" s="21"/>
      <c r="H191" s="21"/>
      <c r="I191" s="21"/>
      <c r="J191" s="18"/>
      <c r="K191" s="18"/>
      <c r="L191" s="18"/>
      <c r="M191" s="18"/>
      <c r="N191" s="18"/>
      <c r="O191" s="18"/>
      <c r="P191" s="18"/>
      <c r="Q191" s="18"/>
    </row>
    <row r="192" spans="1:17" x14ac:dyDescent="0.25">
      <c r="A192" s="24" t="s">
        <v>38</v>
      </c>
      <c r="B192" s="15">
        <f t="shared" si="108"/>
        <v>1371</v>
      </c>
      <c r="C192" s="20">
        <f>202.8+217+63.4+150.1+94+95+88.8+59.9</f>
        <v>970.99999999999989</v>
      </c>
      <c r="D192" s="20">
        <f>32+368</f>
        <v>400</v>
      </c>
      <c r="E192" s="20"/>
      <c r="F192" s="17">
        <f t="shared" si="109"/>
        <v>1336.6</v>
      </c>
      <c r="G192" s="21">
        <v>936.6</v>
      </c>
      <c r="H192" s="21">
        <v>400</v>
      </c>
      <c r="I192" s="21"/>
      <c r="J192" s="18">
        <f t="shared" si="85"/>
        <v>-34.400000000000091</v>
      </c>
      <c r="K192" s="18">
        <f t="shared" si="86"/>
        <v>-34.399999999999864</v>
      </c>
      <c r="L192" s="18">
        <f>H192-D192</f>
        <v>0</v>
      </c>
      <c r="M192" s="18"/>
      <c r="N192" s="18">
        <f t="shared" si="88"/>
        <v>97.490882567469001</v>
      </c>
      <c r="O192" s="18">
        <f t="shared" si="92"/>
        <v>96.457260556127721</v>
      </c>
      <c r="P192" s="18">
        <f t="shared" si="92"/>
        <v>100</v>
      </c>
      <c r="Q192" s="18"/>
    </row>
    <row r="193" spans="1:17" x14ac:dyDescent="0.25">
      <c r="A193" s="24"/>
      <c r="B193" s="15"/>
      <c r="C193" s="20"/>
      <c r="D193" s="20"/>
      <c r="E193" s="20"/>
      <c r="F193" s="17"/>
      <c r="G193" s="21"/>
      <c r="H193" s="21"/>
      <c r="I193" s="21"/>
      <c r="J193" s="18"/>
      <c r="K193" s="18"/>
      <c r="L193" s="18"/>
      <c r="M193" s="18"/>
      <c r="N193" s="18"/>
      <c r="O193" s="18"/>
      <c r="P193" s="18"/>
      <c r="Q193" s="18"/>
    </row>
    <row r="194" spans="1:17" x14ac:dyDescent="0.25">
      <c r="A194" s="14" t="s">
        <v>78</v>
      </c>
      <c r="B194" s="15">
        <f t="shared" ref="B194:B202" si="114">SUM(C194:E194)</f>
        <v>1716.5</v>
      </c>
      <c r="C194" s="22">
        <f>C195+C196</f>
        <v>1156.5</v>
      </c>
      <c r="D194" s="22">
        <f t="shared" ref="D194:H194" si="115">D195+D196</f>
        <v>560</v>
      </c>
      <c r="E194" s="22"/>
      <c r="F194" s="17">
        <f t="shared" ref="F194:F202" si="116">SUM(G194:I194)</f>
        <v>1401.1</v>
      </c>
      <c r="G194" s="23">
        <f t="shared" si="115"/>
        <v>873.1</v>
      </c>
      <c r="H194" s="23">
        <f t="shared" si="115"/>
        <v>528</v>
      </c>
      <c r="I194" s="23"/>
      <c r="J194" s="18">
        <f t="shared" si="85"/>
        <v>-315.40000000000009</v>
      </c>
      <c r="K194" s="18">
        <f t="shared" si="86"/>
        <v>-283.39999999999998</v>
      </c>
      <c r="L194" s="18">
        <f t="shared" si="86"/>
        <v>-32</v>
      </c>
      <c r="M194" s="18"/>
      <c r="N194" s="18">
        <f t="shared" si="88"/>
        <v>81.625400524322743</v>
      </c>
      <c r="O194" s="18">
        <f t="shared" si="92"/>
        <v>75.495028102031995</v>
      </c>
      <c r="P194" s="18">
        <f t="shared" si="92"/>
        <v>94.285714285714278</v>
      </c>
      <c r="Q194" s="18"/>
    </row>
    <row r="195" spans="1:17" x14ac:dyDescent="0.25">
      <c r="A195" s="14" t="s">
        <v>1</v>
      </c>
      <c r="B195" s="15">
        <f t="shared" si="114"/>
        <v>1716.5</v>
      </c>
      <c r="C195" s="22">
        <f>C197</f>
        <v>1156.5</v>
      </c>
      <c r="D195" s="22">
        <f t="shared" ref="D195:H195" si="117">D197</f>
        <v>560</v>
      </c>
      <c r="E195" s="22"/>
      <c r="F195" s="17">
        <f t="shared" si="116"/>
        <v>1401.1</v>
      </c>
      <c r="G195" s="23">
        <f t="shared" si="117"/>
        <v>873.1</v>
      </c>
      <c r="H195" s="23">
        <f t="shared" si="117"/>
        <v>528</v>
      </c>
      <c r="I195" s="23"/>
      <c r="J195" s="18">
        <f t="shared" si="85"/>
        <v>-315.40000000000009</v>
      </c>
      <c r="K195" s="18">
        <f t="shared" si="86"/>
        <v>-283.39999999999998</v>
      </c>
      <c r="L195" s="18">
        <f t="shared" si="86"/>
        <v>-32</v>
      </c>
      <c r="M195" s="18"/>
      <c r="N195" s="18">
        <f t="shared" si="88"/>
        <v>81.625400524322743</v>
      </c>
      <c r="O195" s="18">
        <f t="shared" si="92"/>
        <v>75.495028102031995</v>
      </c>
      <c r="P195" s="18">
        <f t="shared" si="92"/>
        <v>94.285714285714278</v>
      </c>
      <c r="Q195" s="18"/>
    </row>
    <row r="196" spans="1:17" x14ac:dyDescent="0.25">
      <c r="A196" s="14" t="s">
        <v>0</v>
      </c>
      <c r="B196" s="15"/>
      <c r="C196" s="22"/>
      <c r="D196" s="22"/>
      <c r="E196" s="22"/>
      <c r="F196" s="17"/>
      <c r="G196" s="21"/>
      <c r="H196" s="21"/>
      <c r="I196" s="21"/>
      <c r="J196" s="18"/>
      <c r="K196" s="18"/>
      <c r="L196" s="18"/>
      <c r="M196" s="18"/>
      <c r="N196" s="18"/>
      <c r="O196" s="18"/>
      <c r="P196" s="18"/>
      <c r="Q196" s="18"/>
    </row>
    <row r="197" spans="1:17" x14ac:dyDescent="0.25">
      <c r="A197" s="24" t="s">
        <v>38</v>
      </c>
      <c r="B197" s="15">
        <f t="shared" si="114"/>
        <v>1716.5</v>
      </c>
      <c r="C197" s="20">
        <f>421.2+117.4+196.4+101+30+80+135.5+75</f>
        <v>1156.5</v>
      </c>
      <c r="D197" s="20">
        <f>128+432</f>
        <v>560</v>
      </c>
      <c r="E197" s="20"/>
      <c r="F197" s="17">
        <f t="shared" si="116"/>
        <v>1401.1</v>
      </c>
      <c r="G197" s="21">
        <v>873.1</v>
      </c>
      <c r="H197" s="21">
        <v>528</v>
      </c>
      <c r="I197" s="21"/>
      <c r="J197" s="18">
        <f t="shared" si="85"/>
        <v>-315.40000000000009</v>
      </c>
      <c r="K197" s="18">
        <f t="shared" si="86"/>
        <v>-283.39999999999998</v>
      </c>
      <c r="L197" s="18">
        <f t="shared" si="86"/>
        <v>-32</v>
      </c>
      <c r="M197" s="18"/>
      <c r="N197" s="18">
        <f t="shared" si="88"/>
        <v>81.625400524322743</v>
      </c>
      <c r="O197" s="18">
        <f t="shared" si="92"/>
        <v>75.495028102031995</v>
      </c>
      <c r="P197" s="18">
        <f t="shared" si="92"/>
        <v>94.285714285714278</v>
      </c>
      <c r="Q197" s="18"/>
    </row>
    <row r="198" spans="1:17" x14ac:dyDescent="0.25">
      <c r="A198" s="24"/>
      <c r="B198" s="15"/>
      <c r="C198" s="20"/>
      <c r="D198" s="20"/>
      <c r="E198" s="20"/>
      <c r="F198" s="17"/>
      <c r="G198" s="21"/>
      <c r="H198" s="21"/>
      <c r="I198" s="21"/>
      <c r="J198" s="18"/>
      <c r="K198" s="18"/>
      <c r="L198" s="18"/>
      <c r="M198" s="18"/>
      <c r="N198" s="18"/>
      <c r="O198" s="18"/>
      <c r="P198" s="18"/>
      <c r="Q198" s="18"/>
    </row>
    <row r="199" spans="1:17" x14ac:dyDescent="0.25">
      <c r="A199" s="14" t="s">
        <v>79</v>
      </c>
      <c r="B199" s="15">
        <f t="shared" si="114"/>
        <v>3824.2000000000003</v>
      </c>
      <c r="C199" s="22">
        <f>C200+C201</f>
        <v>2304.2000000000003</v>
      </c>
      <c r="D199" s="22">
        <f t="shared" ref="D199:H199" si="118">D200+D201</f>
        <v>1520</v>
      </c>
      <c r="E199" s="22"/>
      <c r="F199" s="17">
        <f t="shared" si="116"/>
        <v>3189.7</v>
      </c>
      <c r="G199" s="23">
        <f t="shared" si="118"/>
        <v>1669.7</v>
      </c>
      <c r="H199" s="23">
        <f t="shared" si="118"/>
        <v>1520</v>
      </c>
      <c r="I199" s="23"/>
      <c r="J199" s="18">
        <f t="shared" si="85"/>
        <v>-634.50000000000045</v>
      </c>
      <c r="K199" s="18">
        <f t="shared" si="86"/>
        <v>-634.50000000000023</v>
      </c>
      <c r="L199" s="18">
        <f>H199-D199</f>
        <v>0</v>
      </c>
      <c r="M199" s="18"/>
      <c r="N199" s="18">
        <f t="shared" si="88"/>
        <v>83.408294545264354</v>
      </c>
      <c r="O199" s="18">
        <f t="shared" si="92"/>
        <v>72.46332783612533</v>
      </c>
      <c r="P199" s="18">
        <f t="shared" si="92"/>
        <v>100</v>
      </c>
      <c r="Q199" s="18"/>
    </row>
    <row r="200" spans="1:17" x14ac:dyDescent="0.25">
      <c r="A200" s="14" t="s">
        <v>1</v>
      </c>
      <c r="B200" s="15">
        <f t="shared" si="114"/>
        <v>3824.2000000000003</v>
      </c>
      <c r="C200" s="22">
        <f>C202</f>
        <v>2304.2000000000003</v>
      </c>
      <c r="D200" s="22">
        <f t="shared" ref="D200:H200" si="119">D202</f>
        <v>1520</v>
      </c>
      <c r="E200" s="22"/>
      <c r="F200" s="17">
        <f t="shared" si="116"/>
        <v>3189.7</v>
      </c>
      <c r="G200" s="23">
        <f t="shared" si="119"/>
        <v>1669.7</v>
      </c>
      <c r="H200" s="23">
        <f t="shared" si="119"/>
        <v>1520</v>
      </c>
      <c r="I200" s="23"/>
      <c r="J200" s="18">
        <f t="shared" si="85"/>
        <v>-634.50000000000045</v>
      </c>
      <c r="K200" s="18">
        <f t="shared" si="86"/>
        <v>-634.50000000000023</v>
      </c>
      <c r="L200" s="18">
        <f>H200-D200</f>
        <v>0</v>
      </c>
      <c r="M200" s="18"/>
      <c r="N200" s="18">
        <f t="shared" si="88"/>
        <v>83.408294545264354</v>
      </c>
      <c r="O200" s="18">
        <f t="shared" si="92"/>
        <v>72.46332783612533</v>
      </c>
      <c r="P200" s="18">
        <f t="shared" si="92"/>
        <v>100</v>
      </c>
      <c r="Q200" s="18"/>
    </row>
    <row r="201" spans="1:17" x14ac:dyDescent="0.25">
      <c r="A201" s="14" t="s">
        <v>0</v>
      </c>
      <c r="B201" s="15"/>
      <c r="C201" s="22"/>
      <c r="D201" s="22"/>
      <c r="E201" s="22"/>
      <c r="F201" s="17"/>
      <c r="G201" s="21"/>
      <c r="H201" s="21"/>
      <c r="I201" s="21"/>
      <c r="J201" s="18"/>
      <c r="K201" s="18"/>
      <c r="L201" s="18"/>
      <c r="M201" s="18"/>
      <c r="N201" s="18"/>
      <c r="O201" s="18"/>
      <c r="P201" s="18"/>
      <c r="Q201" s="18"/>
    </row>
    <row r="202" spans="1:17" x14ac:dyDescent="0.25">
      <c r="A202" s="24" t="s">
        <v>38</v>
      </c>
      <c r="B202" s="15">
        <f t="shared" si="114"/>
        <v>3824.2000000000003</v>
      </c>
      <c r="C202" s="20">
        <f>288.3+263.7+222.5+319.3+386.3+308.5+290.8+224.8</f>
        <v>2304.2000000000003</v>
      </c>
      <c r="D202" s="20">
        <f>368+1152</f>
        <v>1520</v>
      </c>
      <c r="E202" s="20"/>
      <c r="F202" s="17">
        <f t="shared" si="116"/>
        <v>3189.7</v>
      </c>
      <c r="G202" s="21">
        <v>1669.7</v>
      </c>
      <c r="H202" s="21">
        <v>1520</v>
      </c>
      <c r="I202" s="21"/>
      <c r="J202" s="18">
        <f t="shared" si="85"/>
        <v>-634.50000000000045</v>
      </c>
      <c r="K202" s="18">
        <f t="shared" si="86"/>
        <v>-634.50000000000023</v>
      </c>
      <c r="L202" s="18">
        <f>H202-D202</f>
        <v>0</v>
      </c>
      <c r="M202" s="18"/>
      <c r="N202" s="18">
        <f t="shared" si="88"/>
        <v>83.408294545264354</v>
      </c>
      <c r="O202" s="18">
        <f t="shared" si="92"/>
        <v>72.46332783612533</v>
      </c>
      <c r="P202" s="18">
        <f t="shared" si="92"/>
        <v>100</v>
      </c>
      <c r="Q202" s="18"/>
    </row>
    <row r="203" spans="1:17" x14ac:dyDescent="0.25">
      <c r="A203" s="24"/>
      <c r="B203" s="15"/>
      <c r="C203" s="20"/>
      <c r="D203" s="20"/>
      <c r="E203" s="20"/>
      <c r="F203" s="17"/>
      <c r="G203" s="21"/>
      <c r="H203" s="21"/>
      <c r="I203" s="21"/>
      <c r="J203" s="18"/>
      <c r="K203" s="18"/>
      <c r="L203" s="18"/>
      <c r="M203" s="18"/>
      <c r="N203" s="18"/>
      <c r="O203" s="18"/>
      <c r="P203" s="18"/>
      <c r="Q203" s="18"/>
    </row>
    <row r="204" spans="1:17" x14ac:dyDescent="0.25">
      <c r="A204" s="14" t="s">
        <v>80</v>
      </c>
      <c r="B204" s="15">
        <f t="shared" ref="B204" si="120">SUM(C204:E204)</f>
        <v>7116.4</v>
      </c>
      <c r="C204" s="22">
        <v>2124.8000000000002</v>
      </c>
      <c r="D204" s="22">
        <f>320+1440</f>
        <v>1760</v>
      </c>
      <c r="E204" s="22">
        <v>3231.6</v>
      </c>
      <c r="F204" s="17">
        <f t="shared" ref="F204" si="121">SUM(G204:I204)</f>
        <v>6188.1</v>
      </c>
      <c r="G204" s="21">
        <v>1196.5</v>
      </c>
      <c r="H204" s="23">
        <v>1760</v>
      </c>
      <c r="I204" s="23">
        <v>3231.6</v>
      </c>
      <c r="J204" s="18">
        <f t="shared" si="85"/>
        <v>-928.29999999999927</v>
      </c>
      <c r="K204" s="18">
        <f t="shared" si="86"/>
        <v>-928.30000000000018</v>
      </c>
      <c r="L204" s="18">
        <f>H204-D204</f>
        <v>0</v>
      </c>
      <c r="M204" s="18"/>
      <c r="N204" s="18">
        <f t="shared" si="88"/>
        <v>86.955483109437367</v>
      </c>
      <c r="O204" s="18">
        <f t="shared" si="92"/>
        <v>56.311182228915655</v>
      </c>
      <c r="P204" s="18">
        <f t="shared" si="92"/>
        <v>100</v>
      </c>
      <c r="Q204" s="18">
        <f>I204/E204*100</f>
        <v>100</v>
      </c>
    </row>
    <row r="205" spans="1:17" x14ac:dyDescent="0.25">
      <c r="P205" s="1"/>
    </row>
    <row r="206" spans="1:17" x14ac:dyDescent="0.25">
      <c r="P206" s="1"/>
    </row>
    <row r="207" spans="1:17" x14ac:dyDescent="0.25">
      <c r="P207" s="1"/>
    </row>
    <row r="208" spans="1:17" x14ac:dyDescent="0.25">
      <c r="B208" s="8" t="s">
        <v>94</v>
      </c>
      <c r="C208" s="8"/>
      <c r="D208" s="8"/>
      <c r="E208" s="8"/>
      <c r="F208" s="9"/>
      <c r="G208" s="8" t="s">
        <v>87</v>
      </c>
      <c r="H208" s="9"/>
    </row>
    <row r="209" spans="2:8" x14ac:dyDescent="0.25">
      <c r="B209" s="8"/>
      <c r="C209" s="8"/>
      <c r="D209" s="8"/>
      <c r="E209" s="8"/>
      <c r="F209" s="9"/>
      <c r="G209" s="8"/>
      <c r="H209" s="9"/>
    </row>
    <row r="210" spans="2:8" x14ac:dyDescent="0.25">
      <c r="B210" s="8"/>
      <c r="C210" s="8"/>
      <c r="D210" s="8"/>
      <c r="E210" s="8"/>
      <c r="F210" s="9"/>
      <c r="G210" s="8"/>
      <c r="H210" s="9"/>
    </row>
    <row r="211" spans="2:8" x14ac:dyDescent="0.25">
      <c r="B211" s="27" t="s">
        <v>95</v>
      </c>
      <c r="C211" s="27"/>
      <c r="D211" s="27"/>
      <c r="E211" s="8"/>
      <c r="F211" s="9"/>
      <c r="G211" s="8" t="s">
        <v>88</v>
      </c>
      <c r="H211" s="9"/>
    </row>
    <row r="212" spans="2:8" x14ac:dyDescent="0.25">
      <c r="B212" s="12"/>
      <c r="C212" s="12"/>
      <c r="D212" s="12"/>
      <c r="E212" s="8"/>
      <c r="F212" s="9"/>
      <c r="G212" s="8"/>
      <c r="H212" s="9"/>
    </row>
    <row r="213" spans="2:8" x14ac:dyDescent="0.25">
      <c r="B213" s="8"/>
      <c r="C213" s="8"/>
      <c r="D213" s="8"/>
      <c r="E213" s="8"/>
      <c r="F213" s="9"/>
      <c r="G213" s="8"/>
      <c r="H213" s="9"/>
    </row>
    <row r="214" spans="2:8" x14ac:dyDescent="0.25">
      <c r="B214" s="28" t="s">
        <v>84</v>
      </c>
      <c r="C214" s="28"/>
      <c r="D214" s="28"/>
      <c r="E214" s="8"/>
      <c r="F214" s="9"/>
      <c r="G214" s="8" t="s">
        <v>89</v>
      </c>
      <c r="H214" s="9"/>
    </row>
    <row r="215" spans="2:8" x14ac:dyDescent="0.25">
      <c r="B215" s="13"/>
      <c r="C215" s="13"/>
      <c r="D215" s="13"/>
      <c r="E215" s="8"/>
      <c r="F215" s="9"/>
      <c r="G215" s="8"/>
      <c r="H215" s="9"/>
    </row>
    <row r="216" spans="2:8" x14ac:dyDescent="0.25">
      <c r="B216" s="8"/>
      <c r="C216" s="8"/>
      <c r="D216" s="8"/>
      <c r="E216" s="8"/>
      <c r="F216" s="9"/>
      <c r="G216" s="8"/>
      <c r="H216" s="9"/>
    </row>
    <row r="217" spans="2:8" x14ac:dyDescent="0.25">
      <c r="B217" s="27" t="s">
        <v>86</v>
      </c>
      <c r="C217" s="27"/>
      <c r="D217" s="27"/>
      <c r="E217" s="8"/>
      <c r="F217" s="9"/>
      <c r="G217" s="8" t="s">
        <v>90</v>
      </c>
      <c r="H217" s="9"/>
    </row>
    <row r="218" spans="2:8" x14ac:dyDescent="0.25">
      <c r="B218" s="12"/>
      <c r="C218" s="12"/>
      <c r="D218" s="12"/>
      <c r="E218" s="8"/>
      <c r="F218" s="9"/>
      <c r="G218" s="8"/>
      <c r="H218" s="9"/>
    </row>
    <row r="219" spans="2:8" x14ac:dyDescent="0.25">
      <c r="B219" s="8"/>
      <c r="C219" s="8"/>
      <c r="D219" s="8"/>
      <c r="E219" s="8"/>
      <c r="F219" s="9"/>
      <c r="G219" s="8"/>
      <c r="H219" s="9"/>
    </row>
    <row r="220" spans="2:8" x14ac:dyDescent="0.25">
      <c r="B220" s="27" t="s">
        <v>91</v>
      </c>
      <c r="C220" s="27"/>
      <c r="D220" s="27"/>
      <c r="E220" s="8"/>
      <c r="F220" s="9"/>
      <c r="G220" s="8" t="s">
        <v>92</v>
      </c>
      <c r="H220" s="9"/>
    </row>
    <row r="221" spans="2:8" x14ac:dyDescent="0.25">
      <c r="B221" s="12"/>
      <c r="C221" s="12"/>
      <c r="D221" s="12"/>
      <c r="E221" s="8"/>
      <c r="F221" s="9"/>
      <c r="G221" s="8"/>
      <c r="H221" s="9"/>
    </row>
    <row r="222" spans="2:8" x14ac:dyDescent="0.25">
      <c r="B222" s="26"/>
      <c r="C222" s="26"/>
      <c r="D222" s="26"/>
      <c r="E222" s="8"/>
      <c r="F222" s="9"/>
      <c r="G222" s="8"/>
      <c r="H222" s="9"/>
    </row>
    <row r="223" spans="2:8" x14ac:dyDescent="0.25">
      <c r="B223" s="27" t="s">
        <v>98</v>
      </c>
      <c r="C223" s="27"/>
      <c r="D223" s="27"/>
      <c r="E223" s="8"/>
      <c r="F223" s="9"/>
      <c r="G223" s="27" t="s">
        <v>97</v>
      </c>
      <c r="H223" s="27"/>
    </row>
    <row r="224" spans="2:8" x14ac:dyDescent="0.25">
      <c r="B224" s="26"/>
      <c r="C224" s="26"/>
      <c r="D224" s="26"/>
      <c r="E224" s="8"/>
      <c r="F224" s="9"/>
      <c r="G224" s="8"/>
      <c r="H224" s="9"/>
    </row>
    <row r="225" spans="2:8" x14ac:dyDescent="0.25">
      <c r="B225" s="8"/>
      <c r="C225" s="8"/>
      <c r="D225" s="8"/>
      <c r="E225" s="8"/>
      <c r="F225" s="9"/>
      <c r="G225" s="8"/>
      <c r="H225" s="9"/>
    </row>
    <row r="226" spans="2:8" x14ac:dyDescent="0.25">
      <c r="B226" s="27" t="s">
        <v>85</v>
      </c>
      <c r="C226" s="27"/>
      <c r="D226" s="27"/>
      <c r="E226" s="8"/>
      <c r="F226" s="9"/>
      <c r="G226" s="8" t="s">
        <v>93</v>
      </c>
      <c r="H226" s="9"/>
    </row>
    <row r="227" spans="2:8" x14ac:dyDescent="0.25">
      <c r="B227" s="10"/>
      <c r="C227" s="10"/>
      <c r="D227" s="10"/>
      <c r="E227" s="10"/>
      <c r="F227" s="11"/>
      <c r="G227" s="11"/>
      <c r="H227" s="11"/>
    </row>
    <row r="228" spans="2:8" x14ac:dyDescent="0.25">
      <c r="B228" s="10"/>
      <c r="C228" s="10"/>
      <c r="D228" s="10"/>
      <c r="E228" s="10"/>
      <c r="F228" s="11"/>
      <c r="G228" s="11"/>
      <c r="H228" s="11"/>
    </row>
  </sheetData>
  <mergeCells count="37">
    <mergeCell ref="J7:Q7"/>
    <mergeCell ref="K10:K11"/>
    <mergeCell ref="F7:I8"/>
    <mergeCell ref="F9:F11"/>
    <mergeCell ref="L10:L11"/>
    <mergeCell ref="J8:M8"/>
    <mergeCell ref="K9:M9"/>
    <mergeCell ref="J9:J11"/>
    <mergeCell ref="I10:I11"/>
    <mergeCell ref="H10:H11"/>
    <mergeCell ref="E10:E11"/>
    <mergeCell ref="B7:E8"/>
    <mergeCell ref="C9:E9"/>
    <mergeCell ref="B9:B11"/>
    <mergeCell ref="C10:C11"/>
    <mergeCell ref="B226:D226"/>
    <mergeCell ref="P3:Q3"/>
    <mergeCell ref="P1:Q1"/>
    <mergeCell ref="P2:Q2"/>
    <mergeCell ref="G10:G11"/>
    <mergeCell ref="M10:M11"/>
    <mergeCell ref="A4:Q5"/>
    <mergeCell ref="Q10:Q11"/>
    <mergeCell ref="P10:P11"/>
    <mergeCell ref="O10:O11"/>
    <mergeCell ref="O9:Q9"/>
    <mergeCell ref="N9:N11"/>
    <mergeCell ref="N8:Q8"/>
    <mergeCell ref="A7:A11"/>
    <mergeCell ref="G9:I9"/>
    <mergeCell ref="D10:D11"/>
    <mergeCell ref="G223:H223"/>
    <mergeCell ref="B223:D223"/>
    <mergeCell ref="B211:D211"/>
    <mergeCell ref="B214:D214"/>
    <mergeCell ref="B217:D217"/>
    <mergeCell ref="B220:D220"/>
  </mergeCells>
  <pageMargins left="0.51181102362204722" right="0" top="0.15748031496062992" bottom="0.35433070866141736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F 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Roset, Ana</dc:creator>
  <cp:lastModifiedBy>Belaia, Diana</cp:lastModifiedBy>
  <cp:lastPrinted>2023-04-14T08:16:15Z</cp:lastPrinted>
  <dcterms:created xsi:type="dcterms:W3CDTF">2023-03-22T09:44:39Z</dcterms:created>
  <dcterms:modified xsi:type="dcterms:W3CDTF">2023-04-14T08:16:17Z</dcterms:modified>
</cp:coreProperties>
</file>